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C:\Users\Gaf 02\Desktop\CAU RN\TRANSPARÊNCIA\2021\DEZEMBRO 2021\1. PLANEJAMENTO - METAS E RESULTADOS\"/>
    </mc:Choice>
  </mc:AlternateContent>
  <xr:revisionPtr revIDLastSave="0" documentId="8_{F3A1DDF4-A0ED-45FE-90AE-0FD361601CA8}" xr6:coauthVersionLast="47" xr6:coauthVersionMax="47" xr10:uidLastSave="{00000000-0000-0000-0000-000000000000}"/>
  <bookViews>
    <workbookView xWindow="-120" yWindow="-120" windowWidth="20730" windowHeight="11040" tabRatio="884" xr2:uid="{00000000-000D-0000-FFFF-FFFF00000000}"/>
  </bookViews>
  <sheets>
    <sheet name="Indicadores e Metas" sheetId="39" r:id="rId1"/>
    <sheet name="Quadro Geral" sheetId="15" r:id="rId2"/>
    <sheet name="Limites Estratégicos" sheetId="23" r:id="rId3"/>
    <sheet name="Fontes " sheetId="8" r:id="rId4"/>
    <sheet name="Validação de dados" sheetId="31" state="hidden" r:id="rId5"/>
    <sheet name="Diretrizes - Resumo" sheetId="40" state="hidden" r:id="rId6"/>
    <sheet name="Matriz de Obj. Estrat." sheetId="41" r:id="rId7"/>
  </sheets>
  <externalReferences>
    <externalReference r:id="rId8"/>
    <externalReference r:id="rId9"/>
    <externalReference r:id="rId10"/>
  </externalReferences>
  <definedNames>
    <definedName name="__xlfn_IFERROR">#N/A</definedName>
    <definedName name="_xlnm._FilterDatabase" localSheetId="5" hidden="1">'Diretrizes - Resumo'!$A$3:$V$30</definedName>
    <definedName name="_xlnm._FilterDatabase" localSheetId="0" hidden="1">'Indicadores e Metas'!$A$28:$S$100</definedName>
    <definedName name="A" localSheetId="5">#REF!</definedName>
    <definedName name="A" localSheetId="0">#REF!</definedName>
    <definedName name="A" localSheetId="6">#REF!</definedName>
    <definedName name="A" localSheetId="1">#REF!</definedName>
    <definedName name="A">#REF!</definedName>
    <definedName name="Anexo" localSheetId="0">#REF!</definedName>
    <definedName name="Anexo" localSheetId="6">#REF!</definedName>
    <definedName name="Anexo">#REF!</definedName>
    <definedName name="Anexo_1.4.4" localSheetId="0">#REF!</definedName>
    <definedName name="Anexo_1.4.4" localSheetId="6">#REF!</definedName>
    <definedName name="Anexo_1.4.4">#REF!</definedName>
    <definedName name="ar">#N/A</definedName>
    <definedName name="_xlnm.Print_Area" localSheetId="3">'Fontes '!$A$1:$E$24</definedName>
    <definedName name="_xlnm.Print_Area" localSheetId="0">'Indicadores e Metas'!$A$1:$G$105</definedName>
    <definedName name="_xlnm.Print_Area" localSheetId="6">'Matriz de Obj. Estrat.'!$A$1:$K$19</definedName>
    <definedName name="_xlnm.Print_Area" localSheetId="1">'Quadro Geral'!$A$1:$I$26</definedName>
    <definedName name="asas" localSheetId="0">#REF!</definedName>
    <definedName name="asas" localSheetId="6">#REF!</definedName>
    <definedName name="asas">#REF!</definedName>
    <definedName name="ass" localSheetId="0">#REF!</definedName>
    <definedName name="ass" localSheetId="6">#REF!</definedName>
    <definedName name="ass">#REF!</definedName>
    <definedName name="_xlnm.Database" localSheetId="5">#REF!</definedName>
    <definedName name="_xlnm.Database" localSheetId="0">#REF!</definedName>
    <definedName name="_xlnm.Database" localSheetId="6">#REF!</definedName>
    <definedName name="_xlnm.Database" localSheetId="1">#REF!</definedName>
    <definedName name="_xlnm.Database">#REF!</definedName>
    <definedName name="banco_de_dados_sym" localSheetId="5">#REF!</definedName>
    <definedName name="banco_de_dados_sym" localSheetId="0">#REF!</definedName>
    <definedName name="banco_de_dados_sym" localSheetId="6">#REF!</definedName>
    <definedName name="banco_de_dados_sym">#REF!</definedName>
    <definedName name="Copia" localSheetId="0">#REF!</definedName>
    <definedName name="Copia" localSheetId="6">#REF!</definedName>
    <definedName name="Copia">#REF!</definedName>
    <definedName name="copia2" localSheetId="0">#REF!</definedName>
    <definedName name="copia2" localSheetId="6">#REF!</definedName>
    <definedName name="copia2">#REF!</definedName>
    <definedName name="_xlnm.Criteria" localSheetId="0">#REF!</definedName>
    <definedName name="_xlnm.Criteria" localSheetId="6">#REF!</definedName>
    <definedName name="_xlnm.Criteria">#REF!</definedName>
    <definedName name="dados" localSheetId="0">#REF!</definedName>
    <definedName name="dados" localSheetId="6">#REF!</definedName>
    <definedName name="dados">#REF!</definedName>
    <definedName name="Database" localSheetId="6">#REF!</definedName>
    <definedName name="Database">#REF!</definedName>
    <definedName name="DEZEMBRO" localSheetId="6">#REF!</definedName>
    <definedName name="DEZEMBRO">#REF!</definedName>
    <definedName name="huala" localSheetId="0">#REF!</definedName>
    <definedName name="huala" localSheetId="6">#REF!</definedName>
    <definedName name="huala">#REF!</definedName>
    <definedName name="kk" localSheetId="0">#REF!</definedName>
    <definedName name="kk" localSheetId="6">#REF!</definedName>
    <definedName name="kk">#REF!</definedName>
    <definedName name="Percentual5" localSheetId="5">'[1]Estudos - Receita'!$XFB$1:$XFB$20</definedName>
    <definedName name="Percentual5">'[2]Estudos - Receita'!$XFB$1:$XFB$20</definedName>
    <definedName name="PJ2anos" localSheetId="5">'[1]Estudos - Quant. PJ'!$K:$O,'[1]Estudos - Quant. PJ'!$J$2</definedName>
    <definedName name="PJ2anos">'[2]Estudos - Quant. PJ'!$K:$O,'[2]Estudos - Quant. PJ'!$J$2</definedName>
    <definedName name="PREs">#N/A</definedName>
    <definedName name="Presid">#N/A</definedName>
    <definedName name="X" localSheetId="6">#REF!</definedName>
    <definedName name="X">#REF!</definedName>
    <definedName name="XFE1048575" localSheetId="5">#REF!</definedName>
    <definedName name="XFE1048575" localSheetId="0">#REF!</definedName>
    <definedName name="XFE1048575" localSheetId="6">#REF!</definedName>
    <definedName name="XFE1048575">#REF!</definedName>
    <definedName name="XFe1048576" localSheetId="5">#REF!</definedName>
    <definedName name="XFe1048576" localSheetId="0">#REF!</definedName>
    <definedName name="XFe1048576" localSheetId="6">#REF!</definedName>
    <definedName name="XFe1048576">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2" i="39" l="1"/>
  <c r="G25" i="39"/>
  <c r="G21" i="39"/>
  <c r="G19" i="39"/>
  <c r="G17" i="39"/>
  <c r="G13" i="39"/>
  <c r="G15" i="39"/>
  <c r="G73" i="39"/>
  <c r="G69" i="39"/>
  <c r="G71" i="39"/>
  <c r="E17" i="23"/>
  <c r="E18" i="23" s="1"/>
  <c r="M13" i="23"/>
  <c r="M5" i="23"/>
  <c r="M4" i="23"/>
  <c r="M11" i="23" s="1"/>
  <c r="O11" i="23" s="1"/>
  <c r="D23" i="23"/>
  <c r="D21" i="23"/>
  <c r="F21" i="23" s="1"/>
  <c r="D19" i="23"/>
  <c r="F19" i="23" s="1"/>
  <c r="D17" i="23"/>
  <c r="D15" i="23"/>
  <c r="D13" i="23"/>
  <c r="D11" i="23"/>
  <c r="C24" i="8"/>
  <c r="E24" i="8" s="1"/>
  <c r="F23" i="23"/>
  <c r="G64" i="39"/>
  <c r="G80" i="39"/>
  <c r="G78" i="39"/>
  <c r="G76" i="39"/>
  <c r="G62" i="39"/>
  <c r="G39" i="39"/>
  <c r="G32" i="39"/>
  <c r="G11" i="39"/>
  <c r="G6" i="39"/>
  <c r="N13" i="23"/>
  <c r="N6" i="23"/>
  <c r="E23" i="23"/>
  <c r="E21" i="23"/>
  <c r="E19" i="23"/>
  <c r="E15" i="23"/>
  <c r="E13" i="23"/>
  <c r="E11" i="23"/>
  <c r="E7" i="23"/>
  <c r="D7" i="23"/>
  <c r="D23" i="8"/>
  <c r="E23" i="8"/>
  <c r="D22" i="8"/>
  <c r="D20" i="8"/>
  <c r="E10" i="8"/>
  <c r="E12" i="8"/>
  <c r="E14" i="8"/>
  <c r="E15" i="8"/>
  <c r="E16" i="8"/>
  <c r="E17" i="8"/>
  <c r="E18" i="8"/>
  <c r="E19" i="8"/>
  <c r="E20" i="8"/>
  <c r="E22" i="8"/>
  <c r="E11" i="8"/>
  <c r="D12" i="8"/>
  <c r="H15" i="15"/>
  <c r="H8" i="15"/>
  <c r="G23" i="15"/>
  <c r="G9" i="15"/>
  <c r="F73" i="39"/>
  <c r="F71" i="39"/>
  <c r="G22" i="15"/>
  <c r="H22" i="15"/>
  <c r="F22" i="15"/>
  <c r="I8" i="15"/>
  <c r="I9" i="15"/>
  <c r="I10" i="15"/>
  <c r="I11" i="15"/>
  <c r="I12" i="15"/>
  <c r="I13" i="15"/>
  <c r="I14" i="15"/>
  <c r="I15" i="15"/>
  <c r="I16" i="15"/>
  <c r="I17" i="15"/>
  <c r="I18" i="15"/>
  <c r="I19" i="15"/>
  <c r="I20" i="15"/>
  <c r="I21" i="15"/>
  <c r="F7" i="23"/>
  <c r="I7" i="15"/>
  <c r="O13" i="23"/>
  <c r="N11" i="23"/>
  <c r="O5" i="23"/>
  <c r="O4" i="23"/>
  <c r="F15" i="23"/>
  <c r="F13" i="23"/>
  <c r="F11" i="23"/>
  <c r="I22" i="15"/>
  <c r="A1" i="8"/>
  <c r="D5" i="40"/>
  <c r="G5" i="40"/>
  <c r="D6" i="40"/>
  <c r="D7" i="40"/>
  <c r="G7" i="40"/>
  <c r="D8" i="40"/>
  <c r="G8" i="40"/>
  <c r="D9" i="40"/>
  <c r="G9" i="40"/>
  <c r="D10" i="40"/>
  <c r="D11" i="40"/>
  <c r="D12" i="40"/>
  <c r="G12" i="40"/>
  <c r="D13" i="40"/>
  <c r="G13" i="40"/>
  <c r="D14" i="40"/>
  <c r="D15" i="40"/>
  <c r="D16" i="40"/>
  <c r="G16" i="40"/>
  <c r="D17" i="40"/>
  <c r="G17" i="40"/>
  <c r="D18" i="40"/>
  <c r="D19" i="40"/>
  <c r="D20" i="40"/>
  <c r="G20" i="40"/>
  <c r="D21" i="40"/>
  <c r="G21" i="40"/>
  <c r="D22" i="40"/>
  <c r="D23" i="40"/>
  <c r="D24" i="40"/>
  <c r="G24" i="40"/>
  <c r="D25" i="40"/>
  <c r="G25" i="40"/>
  <c r="D26" i="40"/>
  <c r="D27" i="40"/>
  <c r="D28" i="40"/>
  <c r="G28" i="40"/>
  <c r="D29" i="40"/>
  <c r="G29" i="40"/>
  <c r="D30" i="40"/>
  <c r="AK2" i="40"/>
  <c r="AK27" i="40"/>
  <c r="C32" i="40"/>
  <c r="D32" i="40"/>
  <c r="E32" i="40"/>
  <c r="F32" i="40"/>
  <c r="G32" i="40"/>
  <c r="H32" i="40"/>
  <c r="I32" i="40"/>
  <c r="J32" i="40"/>
  <c r="K32" i="40"/>
  <c r="L32" i="40"/>
  <c r="M32" i="40"/>
  <c r="N32" i="40"/>
  <c r="O32" i="40"/>
  <c r="P32" i="40"/>
  <c r="Q32" i="40"/>
  <c r="R32" i="40"/>
  <c r="S32" i="40"/>
  <c r="T32" i="40"/>
  <c r="U32" i="40"/>
  <c r="V32" i="40"/>
  <c r="W32" i="40"/>
  <c r="X32" i="40"/>
  <c r="Y32" i="40"/>
  <c r="Z32" i="40"/>
  <c r="AA32" i="40"/>
  <c r="AB32" i="40"/>
  <c r="AC32" i="40"/>
  <c r="AD32" i="40"/>
  <c r="AE32" i="40"/>
  <c r="AF32" i="40"/>
  <c r="AG32" i="40"/>
  <c r="AH32" i="40"/>
  <c r="C4" i="41"/>
  <c r="D4" i="41"/>
  <c r="E4" i="41"/>
  <c r="F4" i="41"/>
  <c r="G4" i="41"/>
  <c r="H4" i="41"/>
  <c r="C5" i="41"/>
  <c r="D5" i="41"/>
  <c r="E5" i="41"/>
  <c r="F5" i="41"/>
  <c r="G5" i="41"/>
  <c r="H5" i="41"/>
  <c r="C6" i="41"/>
  <c r="D6" i="41"/>
  <c r="E6" i="41"/>
  <c r="F6" i="41"/>
  <c r="G6" i="41"/>
  <c r="H6" i="41"/>
  <c r="C7" i="41"/>
  <c r="D7" i="41"/>
  <c r="E7" i="41"/>
  <c r="F7" i="41"/>
  <c r="G7" i="41"/>
  <c r="H7" i="41"/>
  <c r="C8" i="41"/>
  <c r="D8" i="41"/>
  <c r="E8" i="41"/>
  <c r="F8" i="41"/>
  <c r="G8" i="41"/>
  <c r="H8" i="41"/>
  <c r="C9" i="41"/>
  <c r="D9" i="41"/>
  <c r="E9" i="41"/>
  <c r="F9" i="41"/>
  <c r="G9" i="41"/>
  <c r="H9" i="41"/>
  <c r="C10" i="41"/>
  <c r="D10" i="41"/>
  <c r="E10" i="41"/>
  <c r="F10" i="41"/>
  <c r="G10" i="41"/>
  <c r="H10" i="41"/>
  <c r="C11" i="41"/>
  <c r="D11" i="41"/>
  <c r="E11" i="41"/>
  <c r="F11" i="41"/>
  <c r="G11" i="41"/>
  <c r="H11" i="41"/>
  <c r="C12" i="41"/>
  <c r="D12" i="41"/>
  <c r="E12" i="41"/>
  <c r="F12" i="41"/>
  <c r="G12" i="41"/>
  <c r="H12" i="41"/>
  <c r="C13" i="41"/>
  <c r="D13" i="41"/>
  <c r="E13" i="41"/>
  <c r="F13" i="41"/>
  <c r="G13" i="41"/>
  <c r="H13" i="41"/>
  <c r="C14" i="41"/>
  <c r="D14" i="41"/>
  <c r="E14" i="41"/>
  <c r="F14" i="41"/>
  <c r="G14" i="41"/>
  <c r="H14" i="41"/>
  <c r="C15" i="41"/>
  <c r="D15" i="41"/>
  <c r="E15" i="41"/>
  <c r="F15" i="41"/>
  <c r="G15" i="41"/>
  <c r="H15" i="41"/>
  <c r="C16" i="41"/>
  <c r="D16" i="41"/>
  <c r="E16" i="41"/>
  <c r="F16" i="41"/>
  <c r="G16" i="41"/>
  <c r="H16" i="41"/>
  <c r="C17" i="41"/>
  <c r="D17" i="41"/>
  <c r="E17" i="41"/>
  <c r="F17" i="41"/>
  <c r="G17" i="41"/>
  <c r="H17" i="41"/>
  <c r="C18" i="41"/>
  <c r="D18" i="41"/>
  <c r="E18" i="41"/>
  <c r="F18" i="41"/>
  <c r="G18" i="41"/>
  <c r="H18" i="41"/>
  <c r="H3" i="41"/>
  <c r="G3" i="41"/>
  <c r="F3" i="41"/>
  <c r="E3" i="41"/>
  <c r="D3" i="41"/>
  <c r="C3" i="41"/>
  <c r="I4" i="41"/>
  <c r="G30" i="40"/>
  <c r="G26" i="40"/>
  <c r="G22" i="40"/>
  <c r="G18" i="40"/>
  <c r="G14" i="40"/>
  <c r="G10" i="40"/>
  <c r="G6" i="40"/>
  <c r="G27" i="40"/>
  <c r="G23" i="40"/>
  <c r="G19" i="40"/>
  <c r="G15" i="40"/>
  <c r="G11" i="40"/>
  <c r="J9" i="41"/>
  <c r="I7" i="41"/>
  <c r="J5" i="41"/>
  <c r="G11" i="23"/>
  <c r="J15" i="41"/>
  <c r="J17" i="41"/>
  <c r="J13" i="41"/>
  <c r="J11" i="41"/>
  <c r="G15" i="23"/>
  <c r="J7" i="41"/>
  <c r="I8" i="41"/>
  <c r="I11" i="41"/>
  <c r="I12" i="41"/>
  <c r="I16" i="41"/>
  <c r="I15" i="41"/>
  <c r="I9" i="41"/>
  <c r="I5" i="41"/>
  <c r="I13" i="41"/>
  <c r="I14" i="41"/>
  <c r="I10" i="41"/>
  <c r="I6" i="41"/>
  <c r="I18" i="41"/>
  <c r="J18" i="41"/>
  <c r="J16" i="41"/>
  <c r="P13" i="23"/>
  <c r="J14" i="41"/>
  <c r="J12" i="41"/>
  <c r="J10" i="41"/>
  <c r="J8" i="41"/>
  <c r="J6" i="41"/>
  <c r="G13" i="23"/>
  <c r="J4" i="41"/>
  <c r="I17" i="41"/>
  <c r="J3" i="41"/>
  <c r="I3" i="41"/>
  <c r="D19" i="41"/>
  <c r="C19" i="41"/>
  <c r="F19" i="41"/>
  <c r="E19" i="41"/>
  <c r="I19" i="41"/>
  <c r="J19" i="41"/>
  <c r="G19" i="41"/>
  <c r="H19" i="41"/>
  <c r="AK22" i="40"/>
  <c r="AK23" i="40"/>
  <c r="AK24" i="40"/>
  <c r="AK21" i="40"/>
  <c r="AK20" i="40"/>
  <c r="K3" i="41"/>
  <c r="K5" i="41"/>
  <c r="K18" i="41"/>
  <c r="K10" i="41"/>
  <c r="K16" i="41"/>
  <c r="K4" i="41"/>
  <c r="K12" i="41"/>
  <c r="K13" i="41"/>
  <c r="K6" i="41"/>
  <c r="K8" i="41"/>
  <c r="K17" i="41"/>
  <c r="K9" i="41"/>
  <c r="K7" i="41"/>
  <c r="K11" i="41"/>
  <c r="K14" i="41"/>
  <c r="K15" i="41"/>
  <c r="K19" i="41"/>
  <c r="AK10" i="40"/>
  <c r="AN9" i="40"/>
  <c r="AN6" i="40"/>
  <c r="AN7" i="40"/>
  <c r="AK16" i="40"/>
  <c r="AN3" i="40"/>
  <c r="AN5" i="40"/>
  <c r="AK15" i="40"/>
  <c r="AK19" i="40"/>
  <c r="AN8" i="40"/>
  <c r="G4" i="40"/>
  <c r="AK7" i="40"/>
  <c r="AK12" i="40"/>
  <c r="AK11" i="40"/>
  <c r="AK13" i="40"/>
  <c r="AK8" i="40"/>
  <c r="J6" i="40"/>
  <c r="J24" i="40"/>
  <c r="J8" i="40"/>
  <c r="J11" i="40"/>
  <c r="J25" i="40"/>
  <c r="J22" i="40"/>
  <c r="J9" i="40"/>
  <c r="D4" i="40"/>
  <c r="J4" i="40"/>
  <c r="J29" i="40"/>
  <c r="J23" i="40"/>
  <c r="J17" i="40"/>
  <c r="J7" i="40"/>
  <c r="J5" i="40"/>
  <c r="J27" i="40"/>
  <c r="J19" i="40"/>
  <c r="J18" i="40"/>
  <c r="J16" i="40"/>
  <c r="J15" i="40"/>
  <c r="J13" i="40"/>
  <c r="J12" i="40"/>
  <c r="J10" i="40"/>
  <c r="J21" i="40"/>
  <c r="J20" i="40"/>
  <c r="AN4" i="40"/>
  <c r="J30" i="40"/>
  <c r="AK9" i="40"/>
  <c r="AK6" i="40"/>
  <c r="AK5" i="40"/>
  <c r="AK4" i="40"/>
  <c r="AK3" i="40"/>
  <c r="J28" i="40"/>
  <c r="J26" i="40"/>
  <c r="J14" i="40"/>
  <c r="M14" i="23"/>
  <c r="O14" i="23" s="1"/>
  <c r="D10" i="8"/>
  <c r="J20" i="41"/>
  <c r="J21" i="41"/>
  <c r="A1" i="15"/>
  <c r="E5" i="23"/>
  <c r="G5" i="23"/>
  <c r="D5" i="23"/>
  <c r="F5" i="23" s="1"/>
  <c r="D21" i="8"/>
  <c r="E21" i="8"/>
  <c r="D13" i="8"/>
  <c r="E13" i="8"/>
  <c r="D9" i="8"/>
  <c r="E9" i="8"/>
  <c r="D8" i="8"/>
  <c r="E8" i="8"/>
  <c r="E4" i="23"/>
  <c r="G4" i="23"/>
  <c r="D7" i="8"/>
  <c r="D24" i="8"/>
  <c r="F14" i="8"/>
  <c r="E7" i="8"/>
  <c r="N14" i="23"/>
  <c r="F10" i="8"/>
  <c r="F23" i="8"/>
  <c r="F18" i="8"/>
  <c r="F22" i="8"/>
  <c r="F17" i="8"/>
  <c r="F13" i="8"/>
  <c r="F15" i="8"/>
  <c r="F16" i="8"/>
  <c r="F12" i="8"/>
  <c r="F24" i="8"/>
  <c r="F19" i="8"/>
  <c r="F21" i="8"/>
  <c r="F20" i="8"/>
  <c r="F11" i="8"/>
  <c r="F9" i="8"/>
  <c r="F8" i="8"/>
  <c r="N12" i="23"/>
  <c r="D4" i="23"/>
  <c r="F4" i="23" s="1"/>
  <c r="E6" i="23"/>
  <c r="M6" i="23"/>
  <c r="O6" i="23" s="1"/>
  <c r="E8" i="23"/>
  <c r="F7" i="8"/>
  <c r="E20" i="23"/>
  <c r="E16" i="23"/>
  <c r="E22" i="23"/>
  <c r="E12" i="23"/>
  <c r="E24" i="23"/>
  <c r="E14" i="23"/>
  <c r="F17" i="23" l="1"/>
  <c r="D6" i="23"/>
  <c r="D8" i="23" s="1"/>
  <c r="D18" i="23" s="1"/>
  <c r="F18" i="23" s="1"/>
  <c r="F8" i="23"/>
  <c r="D16" i="23"/>
  <c r="F16" i="23" s="1"/>
  <c r="D22" i="23"/>
  <c r="F22" i="23" s="1"/>
  <c r="D12" i="23"/>
  <c r="F12" i="23" s="1"/>
  <c r="D20" i="23"/>
  <c r="F20" i="23" s="1"/>
  <c r="F6" i="23"/>
  <c r="M12" i="23"/>
  <c r="O12" i="23" s="1"/>
  <c r="D24" i="23"/>
  <c r="F24" i="23" s="1"/>
  <c r="D14" i="23" l="1"/>
  <c r="F14" i="2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Tania Mara Chaves Daldegan</author>
  </authors>
  <commentList>
    <comment ref="D5" authorId="0" shapeId="0" xr:uid="{275FFE38-9E6D-4013-9D3B-340A2347958F}">
      <text>
        <r>
          <rPr>
            <b/>
            <sz val="9"/>
            <color indexed="81"/>
            <rFont val="Segoe UI"/>
            <family val="2"/>
          </rPr>
          <t>Utilizar a informação do Relatório de Gestão - Exercício 2019</t>
        </r>
      </text>
    </comment>
    <comment ref="E5" authorId="0" shapeId="0" xr:uid="{AFBA7958-A084-4785-A2D4-D62765A34AB4}">
      <text>
        <r>
          <rPr>
            <b/>
            <sz val="9"/>
            <color indexed="81"/>
            <rFont val="Segoe UI"/>
            <family val="2"/>
          </rPr>
          <t>Utilizar a informação do Relatório de Gestão - Exercício 2020</t>
        </r>
      </text>
    </comment>
    <comment ref="F5" authorId="0" shapeId="0" xr:uid="{5CF6987A-91AC-4FFA-8F85-A5A390445974}">
      <text>
        <r>
          <rPr>
            <b/>
            <sz val="9"/>
            <color indexed="81"/>
            <rFont val="Segoe UI"/>
            <family val="2"/>
          </rPr>
          <t>Utilizar a informação do Parecer da Reprogramação 2021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D10" authorId="0" shapeId="0" xr:uid="{4BFE434D-77F6-40A4-BA13-C73AE5CDF039}">
      <text>
        <r>
          <rPr>
            <b/>
            <sz val="9"/>
            <color indexed="81"/>
            <rFont val="Segoe UI"/>
            <family val="2"/>
          </rPr>
          <t>Utilizar a informação do Relatório de Gestão - Exercício 2019</t>
        </r>
      </text>
    </comment>
    <comment ref="E10" authorId="0" shapeId="0" xr:uid="{299961F6-D017-4B31-8D07-3F52CFD5BD56}">
      <text>
        <r>
          <rPr>
            <b/>
            <sz val="9"/>
            <color indexed="81"/>
            <rFont val="Segoe UI"/>
            <family val="2"/>
          </rPr>
          <t>Utilizar a informação do Relatório de Gestão - Exercício 2020</t>
        </r>
      </text>
    </comment>
    <comment ref="D31" authorId="0" shapeId="0" xr:uid="{CCC55072-7513-4E7F-9084-5788F57EF2BE}">
      <text>
        <r>
          <rPr>
            <b/>
            <sz val="9"/>
            <color indexed="81"/>
            <rFont val="Segoe UI"/>
            <family val="2"/>
          </rPr>
          <t>Utilizar a informação do Relatório de Gestão - Exercício 2019</t>
        </r>
      </text>
    </comment>
    <comment ref="E31" authorId="0" shapeId="0" xr:uid="{96D572D6-883F-40CF-979B-64052C072325}">
      <text>
        <r>
          <rPr>
            <b/>
            <sz val="9"/>
            <color indexed="81"/>
            <rFont val="Segoe UI"/>
            <family val="2"/>
          </rPr>
          <t>Utilizar a informação do Relatório de Gestão - Exercício 2020</t>
        </r>
      </text>
    </comment>
    <comment ref="D38" authorId="0" shapeId="0" xr:uid="{8A9570ED-CA64-455C-8C3A-C068325BBB78}">
      <text>
        <r>
          <rPr>
            <b/>
            <sz val="9"/>
            <color indexed="81"/>
            <rFont val="Segoe UI"/>
            <family val="2"/>
          </rPr>
          <t>Utilizar a informação do Relatório de Gestão - Exercício 2019</t>
        </r>
      </text>
    </comment>
    <comment ref="E38" authorId="0" shapeId="0" xr:uid="{ED231493-1657-4A20-BB63-8541DB07E69D}">
      <text>
        <r>
          <rPr>
            <b/>
            <sz val="9"/>
            <color indexed="81"/>
            <rFont val="Segoe UI"/>
            <family val="2"/>
          </rPr>
          <t>Utilizar a informação do Relatório de Gestão - Exercício 2020</t>
        </r>
      </text>
    </comment>
    <comment ref="D47" authorId="0" shapeId="0" xr:uid="{819109F1-9807-4393-8AF2-54E00C631912}">
      <text>
        <r>
          <rPr>
            <b/>
            <sz val="9"/>
            <color indexed="81"/>
            <rFont val="Segoe UI"/>
            <family val="2"/>
          </rPr>
          <t>Utilizar a informação do Relatório de Gestão - Exercício 2019</t>
        </r>
      </text>
    </comment>
    <comment ref="E47" authorId="0" shapeId="0" xr:uid="{C573478F-7F36-40C4-9171-36E8E1A8E123}">
      <text>
        <r>
          <rPr>
            <b/>
            <sz val="9"/>
            <color indexed="81"/>
            <rFont val="Segoe UI"/>
            <family val="2"/>
          </rPr>
          <t>Utilizar a informação do Relatório de Gestão - Exercício 2020</t>
        </r>
      </text>
    </comment>
    <comment ref="D49" authorId="0" shapeId="0" xr:uid="{DF111065-2CB2-404D-8C32-D80814727CF8}">
      <text>
        <r>
          <rPr>
            <b/>
            <sz val="9"/>
            <color indexed="81"/>
            <rFont val="Segoe UI"/>
            <family val="2"/>
          </rPr>
          <t>Utilizar a informação do Relatório de Gestão - Exercício 2019</t>
        </r>
      </text>
    </comment>
    <comment ref="E49" authorId="0" shapeId="0" xr:uid="{736FEA88-3335-4E04-9742-D1B12710148A}">
      <text>
        <r>
          <rPr>
            <b/>
            <sz val="9"/>
            <color indexed="81"/>
            <rFont val="Segoe UI"/>
            <family val="2"/>
          </rPr>
          <t>Utilizar a informação do Relatório de Gestão - Exercício 2020</t>
        </r>
      </text>
    </comment>
    <comment ref="D54" authorId="0" shapeId="0" xr:uid="{A40E9EB2-8840-4891-8A47-EB6001902D5F}">
      <text>
        <r>
          <rPr>
            <b/>
            <sz val="9"/>
            <color indexed="81"/>
            <rFont val="Segoe UI"/>
            <family val="2"/>
          </rPr>
          <t>Utilizar a informação do Relatório de Gestão - Exercício 2019</t>
        </r>
      </text>
    </comment>
    <comment ref="E54" authorId="0" shapeId="0" xr:uid="{59DF3939-E83E-48AA-8463-4B23512E2289}">
      <text>
        <r>
          <rPr>
            <b/>
            <sz val="9"/>
            <color indexed="81"/>
            <rFont val="Segoe UI"/>
            <family val="2"/>
          </rPr>
          <t>Utilizar a informação do Relatório de Gestão - Exercício 2020</t>
        </r>
      </text>
    </comment>
    <comment ref="D61" authorId="0" shapeId="0" xr:uid="{23735517-C10A-4BC9-B4BE-65E0B62E30FA}">
      <text>
        <r>
          <rPr>
            <b/>
            <sz val="9"/>
            <color indexed="81"/>
            <rFont val="Segoe UI"/>
            <family val="2"/>
          </rPr>
          <t>Utilizar a informação do Relatório de Gestão - Exercício 2019</t>
        </r>
      </text>
    </comment>
    <comment ref="E61" authorId="0" shapeId="0" xr:uid="{7A65AC24-E540-48C4-A543-D24056B7DF93}">
      <text>
        <r>
          <rPr>
            <b/>
            <sz val="9"/>
            <color indexed="81"/>
            <rFont val="Segoe UI"/>
            <family val="2"/>
          </rPr>
          <t>Utilizar a informação do Relatório de Gestão - Exercício 2020</t>
        </r>
      </text>
    </comment>
    <comment ref="D68" authorId="0" shapeId="0" xr:uid="{6E466AA3-400D-4724-9519-20BDF9DC0F75}">
      <text>
        <r>
          <rPr>
            <b/>
            <sz val="9"/>
            <color indexed="81"/>
            <rFont val="Segoe UI"/>
            <family val="2"/>
          </rPr>
          <t>Utilizar a informação do Relatório de Gestão - Exercício 2019</t>
        </r>
      </text>
    </comment>
    <comment ref="E68" authorId="0" shapeId="0" xr:uid="{23748E71-86E4-4093-BDEA-5484F34B801F}">
      <text>
        <r>
          <rPr>
            <b/>
            <sz val="9"/>
            <color indexed="81"/>
            <rFont val="Segoe UI"/>
            <family val="2"/>
          </rPr>
          <t>Utilizar a informação do Relatório de Gestão - Exercício 2020</t>
        </r>
      </text>
    </comment>
    <comment ref="D75" authorId="0" shapeId="0" xr:uid="{641E4008-7DCE-4052-8303-7A798C590571}">
      <text>
        <r>
          <rPr>
            <b/>
            <sz val="9"/>
            <color indexed="81"/>
            <rFont val="Segoe UI"/>
            <family val="2"/>
          </rPr>
          <t>Utilizar a informação do Relatório de Gestão - Exercício 2019</t>
        </r>
      </text>
    </comment>
    <comment ref="E75" authorId="0" shapeId="0" xr:uid="{CD5A78F2-E8AC-4F72-9969-1E7C25724B79}">
      <text>
        <r>
          <rPr>
            <b/>
            <sz val="9"/>
            <color indexed="81"/>
            <rFont val="Segoe UI"/>
            <family val="2"/>
          </rPr>
          <t>Utilizar a informação do Relatório de Gestão - Exercício 2020</t>
        </r>
      </text>
    </comment>
    <comment ref="D86" authorId="0" shapeId="0" xr:uid="{04D6CF45-6BA6-41E6-A832-CC38A43CE350}">
      <text>
        <r>
          <rPr>
            <b/>
            <sz val="9"/>
            <color indexed="81"/>
            <rFont val="Segoe UI"/>
            <family val="2"/>
          </rPr>
          <t>Utilizar a informação do Relatório de Gestão - Exercício 2019</t>
        </r>
      </text>
    </comment>
    <comment ref="E86" authorId="0" shapeId="0" xr:uid="{9ABCCF0B-09CB-47A1-9F1B-CCFC50EC630D}">
      <text>
        <r>
          <rPr>
            <b/>
            <sz val="9"/>
            <color indexed="81"/>
            <rFont val="Segoe UI"/>
            <family val="2"/>
          </rPr>
          <t>Utilizar a informação do Relatório de Gestão - Exercício 2020</t>
        </r>
      </text>
    </comment>
    <comment ref="D93" authorId="0" shapeId="0" xr:uid="{E0529BF0-A61F-451E-8A64-EBB28D087FC3}">
      <text>
        <r>
          <rPr>
            <b/>
            <sz val="9"/>
            <color indexed="81"/>
            <rFont val="Segoe UI"/>
            <family val="2"/>
          </rPr>
          <t>Utilizar a informação do Relatório de Gestão - Exercício 2019</t>
        </r>
      </text>
    </comment>
    <comment ref="E93" authorId="0" shapeId="0" xr:uid="{5EACA8FA-CBDE-4545-93B4-2AF6F49C7E75}">
      <text>
        <r>
          <rPr>
            <b/>
            <sz val="9"/>
            <color indexed="81"/>
            <rFont val="Segoe UI"/>
            <family val="2"/>
          </rPr>
          <t>Utilizar a informação do Relatório de Gestão - Exercício 2020</t>
        </r>
      </text>
    </comment>
    <comment ref="D96" authorId="0" shapeId="0" xr:uid="{8372A902-D181-407E-850D-A8D4A8F9E43B}">
      <text>
        <r>
          <rPr>
            <b/>
            <sz val="9"/>
            <color indexed="81"/>
            <rFont val="Segoe UI"/>
            <family val="2"/>
          </rPr>
          <t>Utilizar a informação do Relatório de Gestão - Exercício 2019</t>
        </r>
      </text>
    </comment>
    <comment ref="E96" authorId="0" shapeId="0" xr:uid="{C37EE804-8102-4137-8FB6-07B8987F8EC8}">
      <text>
        <r>
          <rPr>
            <b/>
            <sz val="9"/>
            <color indexed="81"/>
            <rFont val="Segoe UI"/>
            <family val="2"/>
          </rPr>
          <t>Utilizar a informação do Relatório de Gestão - Exercício 2020</t>
        </r>
      </text>
    </comment>
    <comment ref="D100" authorId="0" shapeId="0" xr:uid="{AF7A566F-33C1-45A3-B3C7-758F5F7E2AE0}">
      <text>
        <r>
          <rPr>
            <b/>
            <sz val="9"/>
            <color indexed="81"/>
            <rFont val="Segoe UI"/>
            <family val="2"/>
          </rPr>
          <t>Utilizar a informação do Relatório de Gestão - Exercício 2019</t>
        </r>
      </text>
    </comment>
    <comment ref="E100" authorId="0" shapeId="0" xr:uid="{EE29BD00-796A-40E2-8AC9-F7128A73AFF5}">
      <text>
        <r>
          <rPr>
            <b/>
            <sz val="9"/>
            <color indexed="81"/>
            <rFont val="Segoe UI"/>
            <family val="2"/>
          </rPr>
          <t>Utilizar a informação do Relatório de Gestão - Exercício 2020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Gustavo Milhomem Brito Menezes</author>
    <author>Fabiana Pereira Siqueira</author>
    <author>Tania Mara Chaves Daldegan</author>
  </authors>
  <commentList>
    <comment ref="A5" authorId="0" shapeId="0" xr:uid="{00000000-0006-0000-0300-000001000000}">
      <text>
        <r>
          <rPr>
            <b/>
            <sz val="16"/>
            <color indexed="81"/>
            <rFont val="Tahoma"/>
            <family val="2"/>
          </rPr>
          <t>Área ou setor responsável pela Atividade ou Projeto</t>
        </r>
      </text>
    </comment>
    <comment ref="B5" authorId="0" shapeId="0" xr:uid="{00000000-0006-0000-0300-000002000000}">
      <text>
        <r>
          <rPr>
            <b/>
            <sz val="14"/>
            <color indexed="81"/>
            <rFont val="Calibri Light"/>
            <family val="2"/>
            <scheme val="major"/>
          </rPr>
          <t>P= Projeto                                         A= Atividade 
PE= Projeto Específico
P.= Projeto não executado                                        A. = Atividade não executada
PE. = Projeto Específico não executado</t>
        </r>
      </text>
    </comment>
    <comment ref="C5" authorId="0" shapeId="0" xr:uid="{00000000-0006-0000-0300-000005000000}">
      <text>
        <r>
          <rPr>
            <b/>
            <sz val="13"/>
            <color indexed="81"/>
            <rFont val="Tahoma"/>
            <family val="2"/>
          </rPr>
          <t>Nome do Projeto ou Atividade do Plano de Ação, conforme o parecer aprovado da Reprogramação 2021</t>
        </r>
      </text>
    </comment>
    <comment ref="D5" authorId="0" shapeId="0" xr:uid="{00000000-0006-0000-0300-000007000000}">
      <text>
        <r>
          <rPr>
            <b/>
            <sz val="14"/>
            <color indexed="81"/>
            <rFont val="Tahoma"/>
            <family val="2"/>
          </rPr>
          <t>Selecionar uma das opções nas células abaixo que estão de acordo com os objetivos estratégicos do Mapa Estratégico no âmbito das perspectivas da Sociedade, Processos Internos, Alavancadores e Pessoas e Infraestrutura.</t>
        </r>
      </text>
    </comment>
    <comment ref="E5" authorId="0" shapeId="0" xr:uid="{00000000-0006-0000-0300-000009000000}">
      <text>
        <r>
          <rPr>
            <b/>
            <sz val="12"/>
            <color indexed="81"/>
            <rFont val="Tahoma"/>
            <family val="2"/>
          </rPr>
          <t>Resultado conforme o previsto no parecer aprovado da Reprogramação do Plano de Ação do Exercício de 2021.</t>
        </r>
      </text>
    </comment>
    <comment ref="F5" authorId="1" shapeId="0" xr:uid="{B4BDA96E-D6A2-4797-9990-0D33FBE18BB9}">
      <text>
        <r>
          <rPr>
            <b/>
            <sz val="12"/>
            <color indexed="81"/>
            <rFont val="Calibri"/>
            <family val="2"/>
            <scheme val="minor"/>
          </rPr>
          <t>Usar o último valor APROVADO no parecer do Plano de Ação do Reprogramado  Exercício de 2021, sem transposição.</t>
        </r>
      </text>
    </comment>
    <comment ref="G5" authorId="2" shapeId="0" xr:uid="{8009438A-0852-4E48-93C2-0EF4D4CA4C75}">
      <text>
        <r>
          <rPr>
            <b/>
            <sz val="11"/>
            <color indexed="81"/>
            <rFont val="Segoe UI"/>
            <family val="2"/>
          </rPr>
          <t xml:space="preserve">Retirar do SISCONT. NET, no caminho: "Centro de Custos&gt; Relatórios&gt; Demonstrativo de empenhos/pagamentos- período de: 01/01/2021 até 31/12/2021 na coluna do ORÇADO.
</t>
        </r>
      </text>
    </comment>
    <comment ref="H5" authorId="1" shapeId="0" xr:uid="{1210D140-F6F8-4D23-A49E-748E48106977}">
      <text>
        <r>
          <rPr>
            <b/>
            <sz val="12"/>
            <color indexed="81"/>
            <rFont val="Calibri"/>
            <family val="2"/>
            <scheme val="minor"/>
          </rPr>
          <t>Retirar do SISCONT. NET, no caminho: "Centro de Custos&gt; Relatórios&gt; Demonstrativo de empenhos/pagamentos- período de: 01/01/2021 até 31/12/2021 na coluna do EMPENHOS.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Fabiana Pereira Siqueira</author>
    <author>Gustavo Milhomem Brito Menezes</author>
    <author>Marcos Cristino</author>
    <author>Tania Mara Chaves Daldegan</author>
    <author>Fabiana ...</author>
  </authors>
  <commentList>
    <comment ref="D3" authorId="0" shapeId="0" xr:uid="{E183990F-FF57-423D-841B-BF1D735B4A5E}">
      <text>
        <r>
          <rPr>
            <b/>
            <sz val="12"/>
            <color indexed="81"/>
            <rFont val="Calibri"/>
            <family val="2"/>
            <scheme val="minor"/>
          </rPr>
          <t>usar o último valor APROVADO no parecer da Reprogramação do Plano de Ação do Exercício de 2021, sem transposição.</t>
        </r>
      </text>
    </comment>
    <comment ref="E3" authorId="0" shapeId="0" xr:uid="{314E5DF9-943C-466C-B647-3EB6735E3F46}">
      <text>
        <r>
          <rPr>
            <b/>
            <sz val="12"/>
            <color indexed="81"/>
            <rFont val="Calibri"/>
            <family val="2"/>
            <scheme val="minor"/>
          </rPr>
          <t>RECEITAS : retirar do SISCONT. NET, no caminho:  "Contabilidade&gt; Relatórios&gt; Balanço Orçamentário"; período de 01/01/2021 até 31/12/2021; na coluna das RECEITAS REALIZADAS 
Fundo de Apoio (FA): Retirar do SISCONT. NET, no caminho: "Centro de Custos&gt; Relatórios&gt; Demonstrativo de empenhos/pagamentos- período de: 01/01/2021 até 31/12/2021 na coluna do EMPENHOS.</t>
        </r>
      </text>
    </comment>
    <comment ref="M3" authorId="0" shapeId="0" xr:uid="{3C497653-8F32-4325-9237-366F5883790F}">
      <text>
        <r>
          <rPr>
            <b/>
            <sz val="12"/>
            <color indexed="81"/>
            <rFont val="Calibri"/>
            <family val="2"/>
            <scheme val="minor"/>
          </rPr>
          <t>usar o último valor APROVADO no parecer da Reprogramação do Plano de Ação do Exercício de 2021, sem transposição.</t>
        </r>
      </text>
    </comment>
    <comment ref="N3" authorId="0" shapeId="0" xr:uid="{A2BF80D8-E43F-4F25-9B21-8281A2DCF11F}">
      <text>
        <r>
          <rPr>
            <b/>
            <sz val="12"/>
            <color indexed="81"/>
            <rFont val="Calibri"/>
            <family val="2"/>
            <scheme val="minor"/>
          </rPr>
          <t xml:space="preserve">DESPESAS: Retirar do SISCONT. NET,  Balanço Orçamentário ou do Relatório de Despesas Pagas: 01/01/2021 até 31/12/2021 na coluna do EMPENHOS.
RECEITAS : retirar do SISCONT. NET, no caminho:  "Contabilidade&gt; Relatórios&gt; Balanço Orçamentário"; período de 01/01/2021 até 31/12/2021; na coluna das RECEITAS REALIZADAS </t>
        </r>
      </text>
    </comment>
    <comment ref="B4" authorId="1" shapeId="0" xr:uid="{00000000-0006-0000-0500-000001000000}">
      <text>
        <r>
          <rPr>
            <b/>
            <sz val="11"/>
            <color indexed="81"/>
            <rFont val="Tahoma"/>
            <family val="2"/>
          </rPr>
          <t>Vinculada as Receitas de Arrecadação do Anexo 1.1 - Usos e Fonte COM os valores das anuidades de exercícios anteriores.</t>
        </r>
        <r>
          <rPr>
            <sz val="11"/>
            <color indexed="81"/>
            <rFont val="Tahoma"/>
            <family val="2"/>
          </rPr>
          <t xml:space="preserve">
</t>
        </r>
      </text>
    </comment>
    <comment ref="B5" authorId="1" shapeId="0" xr:uid="{00000000-0006-0000-0500-000002000000}">
      <text>
        <r>
          <rPr>
            <b/>
            <sz val="9"/>
            <color indexed="81"/>
            <rFont val="Tahoma"/>
            <family val="2"/>
          </rPr>
          <t>Apenas para os Cau Básicos. O valor total deve ser igual do que consta nas Diretrizes da Programação 2021.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N5" authorId="2" shapeId="0" xr:uid="{ACE7B09F-2DCD-4905-8C63-930896012DA7}">
      <text>
        <r>
          <rPr>
            <sz val="9"/>
            <color indexed="81"/>
            <rFont val="Segoe UI"/>
            <family val="2"/>
          </rPr>
          <t>Apresentar detalhamento no campo de comentários.</t>
        </r>
      </text>
    </comment>
    <comment ref="B6" authorId="1" shapeId="0" xr:uid="{00000000-0006-0000-0500-000004000000}">
      <text>
        <r>
          <rPr>
            <b/>
            <sz val="9"/>
            <color indexed="81"/>
            <rFont val="Tahoma"/>
            <family val="2"/>
          </rPr>
          <t>= Receita de Arrecadação + Recurso do Fundo de Apoio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8" authorId="1" shapeId="0" xr:uid="{00000000-0006-0000-0500-000006000000}">
      <text>
        <r>
          <rPr>
            <b/>
            <sz val="9"/>
            <color indexed="81"/>
            <rFont val="Tahoma"/>
            <family val="2"/>
          </rPr>
          <t>RAL= Receita de Arrecadação + Fundo de Apoio (apenas CAU Básicos) - Aporte FA</t>
        </r>
      </text>
    </comment>
    <comment ref="D10" authorId="0" shapeId="0" xr:uid="{DDBE837F-D344-4531-81B6-245F4916A3E5}">
      <text>
        <r>
          <rPr>
            <b/>
            <sz val="12"/>
            <color indexed="81"/>
            <rFont val="Calibri"/>
            <family val="2"/>
            <scheme val="minor"/>
          </rPr>
          <t xml:space="preserve">usar o último valor APROVADO no parecer da Reprogramação do Plano de Ação do Exercício de 2021, sem transposição.
</t>
        </r>
      </text>
    </comment>
    <comment ref="E10" authorId="0" shapeId="0" xr:uid="{5CAAECA8-3FF8-4F2E-8D80-94016C896CC0}">
      <text>
        <r>
          <rPr>
            <b/>
            <sz val="12"/>
            <color indexed="81"/>
            <rFont val="Calibri"/>
            <family val="2"/>
            <scheme val="minor"/>
          </rPr>
          <t>retirar do SISCONT. NET, no caminho: "Centro de Custos&gt; Relatórios&gt; Demonstrativo de empenhos/pagamentos- período de: 01/01/2021 até 31/12/2021; na coluna do EMPENHOS.</t>
        </r>
      </text>
    </comment>
    <comment ref="M10" authorId="0" shapeId="0" xr:uid="{CCCB8538-8058-4237-992E-05B92ADC5053}">
      <text>
        <r>
          <rPr>
            <b/>
            <sz val="12"/>
            <color indexed="81"/>
            <rFont val="Calibri"/>
            <family val="2"/>
            <scheme val="minor"/>
          </rPr>
          <t>usar o último valor APROVADO no parecer da Reprogramação do Plano de Ação do Exercício de 2021, sem transposição.</t>
        </r>
      </text>
    </comment>
    <comment ref="N10" authorId="0" shapeId="0" xr:uid="{BE2ADC0A-E25A-4FCE-9C5B-B76204196D22}">
      <text>
        <r>
          <rPr>
            <b/>
            <sz val="12"/>
            <color indexed="81"/>
            <rFont val="Calibri"/>
            <family val="2"/>
            <scheme val="minor"/>
          </rPr>
          <t xml:space="preserve">DESPESAS
 : Retirar do SISCONT. NET, no caminho: "Centro de Custos&gt; Relatórios&gt; Demonstrativo de empenhos/pagamentos- período de: 01/01/2021 até 31/12/2021 na coluna do EMPENHOS.
</t>
        </r>
      </text>
    </comment>
    <comment ref="F11" authorId="3" shapeId="0" xr:uid="{00000000-0006-0000-0500-000007000000}">
      <text>
        <r>
          <rPr>
            <b/>
            <sz val="9"/>
            <color indexed="81"/>
            <rFont val="Segoe UI"/>
            <family val="2"/>
          </rPr>
          <t>É percentual (%)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J11" authorId="4" shapeId="0" xr:uid="{0860F5A4-2AE7-4268-BDC1-E440D5E2F246}">
      <text>
        <r>
          <rPr>
            <sz val="12"/>
            <color indexed="81"/>
            <rFont val="Segoe UI"/>
            <family val="2"/>
          </rPr>
          <t>Não considerar o valor total das rescisões contratuais, auxílio alimentação, auxílio transporte, plano de saúde e demais benefícios</t>
        </r>
      </text>
    </comment>
    <comment ref="F12" authorId="3" shapeId="0" xr:uid="{00000000-0006-0000-0500-000008000000}">
      <text>
        <r>
          <rPr>
            <b/>
            <sz val="9"/>
            <color indexed="81"/>
            <rFont val="Segoe UI"/>
            <family val="2"/>
          </rPr>
          <t>É ponto percentual (pp)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F13" authorId="3" shapeId="0" xr:uid="{5474B28D-88A8-4975-AC10-F563CF7B8721}">
      <text>
        <r>
          <rPr>
            <b/>
            <sz val="9"/>
            <color indexed="81"/>
            <rFont val="Segoe UI"/>
            <family val="2"/>
          </rPr>
          <t>É percentual (%)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J13" authorId="4" shapeId="0" xr:uid="{3A00CB33-2082-4603-BF4D-377873B1108F}">
      <text>
        <r>
          <rPr>
            <sz val="12"/>
            <color indexed="81"/>
            <rFont val="Segoe UI"/>
            <family val="2"/>
          </rPr>
          <t xml:space="preserve"> Folhas de pagamento (salários, encargos e benefícios)</t>
        </r>
      </text>
    </comment>
    <comment ref="F14" authorId="3" shapeId="0" xr:uid="{00000000-0006-0000-0500-00000A000000}">
      <text>
        <r>
          <rPr>
            <b/>
            <sz val="9"/>
            <color indexed="81"/>
            <rFont val="Segoe UI"/>
            <family val="2"/>
          </rPr>
          <t>É ponto percentual (pp)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F15" authorId="3" shapeId="0" xr:uid="{3847373E-F16F-4B9A-88EF-D00DA815BFC7}">
      <text>
        <r>
          <rPr>
            <b/>
            <sz val="9"/>
            <color indexed="81"/>
            <rFont val="Segoe UI"/>
            <family val="2"/>
          </rPr>
          <t>É percentual (%)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F16" authorId="3" shapeId="0" xr:uid="{00000000-0006-0000-0500-00000C000000}">
      <text>
        <r>
          <rPr>
            <b/>
            <sz val="9"/>
            <color indexed="81"/>
            <rFont val="Segoe UI"/>
            <family val="2"/>
          </rPr>
          <t>É ponto percentual (pp)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F17" authorId="3" shapeId="0" xr:uid="{00000000-0006-0000-0500-00000D000000}">
      <text>
        <r>
          <rPr>
            <b/>
            <sz val="9"/>
            <color indexed="81"/>
            <rFont val="Segoe UI"/>
            <family val="2"/>
          </rPr>
          <t>É percentual (%)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F18" authorId="3" shapeId="0" xr:uid="{00000000-0006-0000-0500-00000E000000}">
      <text>
        <r>
          <rPr>
            <b/>
            <sz val="9"/>
            <color indexed="81"/>
            <rFont val="Segoe UI"/>
            <family val="2"/>
          </rPr>
          <t>É ponto percentual (pp)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F19" authorId="3" shapeId="0" xr:uid="{33C41CD3-30AD-429A-80BE-39439DE98948}">
      <text>
        <r>
          <rPr>
            <b/>
            <sz val="9"/>
            <color indexed="81"/>
            <rFont val="Segoe UI"/>
            <family val="2"/>
          </rPr>
          <t>É percentual (%)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F20" authorId="3" shapeId="0" xr:uid="{00000000-0006-0000-0500-000010000000}">
      <text>
        <r>
          <rPr>
            <b/>
            <sz val="9"/>
            <color indexed="81"/>
            <rFont val="Segoe UI"/>
            <family val="2"/>
          </rPr>
          <t>É ponto percentual (pp)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F21" authorId="3" shapeId="0" xr:uid="{F8BFD51D-3701-4FE8-ABF4-D8387542FEAA}">
      <text>
        <r>
          <rPr>
            <b/>
            <sz val="9"/>
            <color indexed="81"/>
            <rFont val="Segoe UI"/>
            <family val="2"/>
          </rPr>
          <t>É percentual (%)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F22" authorId="3" shapeId="0" xr:uid="{00000000-0006-0000-0500-000012000000}">
      <text>
        <r>
          <rPr>
            <b/>
            <sz val="9"/>
            <color indexed="81"/>
            <rFont val="Segoe UI"/>
            <family val="2"/>
          </rPr>
          <t>É ponto percentual (pp)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F23" authorId="3" shapeId="0" xr:uid="{0CA7E802-DC83-4E12-AF46-D3EA1F375E25}">
      <text>
        <r>
          <rPr>
            <b/>
            <sz val="9"/>
            <color indexed="81"/>
            <rFont val="Segoe UI"/>
            <family val="2"/>
          </rPr>
          <t>É percentual (%)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F24" authorId="3" shapeId="0" xr:uid="{00000000-0006-0000-0500-000014000000}">
      <text>
        <r>
          <rPr>
            <b/>
            <sz val="9"/>
            <color indexed="81"/>
            <rFont val="Segoe UI"/>
            <family val="2"/>
          </rPr>
          <t>É ponto percentual (pp)</t>
        </r>
        <r>
          <rPr>
            <sz val="9"/>
            <color indexed="81"/>
            <rFont val="Segoe UI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Gustavo Milhomem Brito Menezes</author>
    <author>Fabiana Pereira Siqueira</author>
  </authors>
  <commentList>
    <comment ref="C4" authorId="0" shapeId="0" xr:uid="{6BB040E9-0C06-4583-9329-67CD3C033E2E}">
      <text>
        <r>
          <rPr>
            <b/>
            <sz val="12"/>
            <color indexed="81"/>
            <rFont val="Calibri Light"/>
            <family val="2"/>
            <scheme val="major"/>
          </rPr>
          <t>usar o último valor APROVADO no parecer da Reprogramação do Plano de Ação do Exercício de 2021, sem transposição.</t>
        </r>
      </text>
    </comment>
    <comment ref="D4" authorId="1" shapeId="0" xr:uid="{B7A47B52-54E0-4863-A676-C6BFF275A730}">
      <text>
        <r>
          <rPr>
            <b/>
            <sz val="12"/>
            <color indexed="81"/>
            <rFont val="Calibri"/>
            <family val="2"/>
            <scheme val="minor"/>
          </rPr>
          <t>retirar do SISCONT. NET, no caminho:  "Contabilidade&gt; Relatórios&gt; Balanço Orçamentário"; período de 01/01/2021 até 31/12/2021; na coluna das RECEITAS REALIZADAS.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Marcos Cristino</author>
  </authors>
  <commentList>
    <comment ref="AK15" authorId="0" shapeId="0" xr:uid="{00000000-0006-0000-0000-000001000000}">
      <text>
        <r>
          <rPr>
            <sz val="9"/>
            <color indexed="81"/>
            <rFont val="Segoe UI"/>
            <family val="2"/>
          </rPr>
          <t>Valor apenas do Ressarcimento de Taxas Bancárias</t>
        </r>
      </text>
    </comment>
  </commentList>
</comments>
</file>

<file path=xl/sharedStrings.xml><?xml version="1.0" encoding="utf-8"?>
<sst xmlns="http://schemas.openxmlformats.org/spreadsheetml/2006/main" count="788" uniqueCount="416">
  <si>
    <t>Imobilizado</t>
  </si>
  <si>
    <t>Unidade Responsável</t>
  </si>
  <si>
    <t>Denominação</t>
  </si>
  <si>
    <t>TOTAL</t>
  </si>
  <si>
    <t>Especificação</t>
  </si>
  <si>
    <t>1. Receitas Correntes</t>
  </si>
  <si>
    <t>1.1.1 Anuidades</t>
  </si>
  <si>
    <t>1.1.1.1 Pessoa Física</t>
  </si>
  <si>
    <t>1.1.1.2 Pessoa Jurídica</t>
  </si>
  <si>
    <t>1.2 Aplicações Financeiras</t>
  </si>
  <si>
    <t>1.4 Fundo de Apoio</t>
  </si>
  <si>
    <t>2.1 Saldos de Exercícios Anteriores (Superávit Financeiro)</t>
  </si>
  <si>
    <t xml:space="preserve"> I – TOTAL</t>
  </si>
  <si>
    <t>Valores em R$ 1,00</t>
  </si>
  <si>
    <t>Impactar significativamente o planejamento e a gestão do território</t>
  </si>
  <si>
    <t>Tornar a fiscalização um vetor de melhoria do exercício da Arquitetura e Urbanismo</t>
  </si>
  <si>
    <t>Assegurar a eficácia no atendimento e no relacionamento com os arquitetos e urbanistas e a sociedade</t>
  </si>
  <si>
    <t>Estimular o conhecimento, o uso de processos criativos e a difusão das melhores práticas em Arquitetura e Urbanismo</t>
  </si>
  <si>
    <t>Garantir a participação dos arquitetos e urbanistas no planejamento territorial e na gestão urbana</t>
  </si>
  <si>
    <t>Estimular a produção da arquitetura e urbanismo como política de Estado</t>
  </si>
  <si>
    <t>Assegurar a eficácia no relacionamento e comunicação com a sociedade</t>
  </si>
  <si>
    <t>Promover o exercício ético e qualificado da profissão</t>
  </si>
  <si>
    <t>Fomentar o acesso da sociedade à Arquitetura e Urbanismo</t>
  </si>
  <si>
    <t>Assegurar a sustentabilidade financeira</t>
  </si>
  <si>
    <t>Aprimorar e inovar os processos e as ações</t>
  </si>
  <si>
    <t>Desenvolver competências de dirigentes e colaboradores</t>
  </si>
  <si>
    <t>Construir cultura organizacional adequada à estratégia</t>
  </si>
  <si>
    <t>Ter sistemas de informação e infraestrutura que viabilizem a gestão e o atendimento dos arquitetos e urbanistas e a sociedade</t>
  </si>
  <si>
    <t>Objetivo Estratégico Principal</t>
  </si>
  <si>
    <t>Material de Consumo</t>
  </si>
  <si>
    <t>Encargos Diversos</t>
  </si>
  <si>
    <t>Diárias</t>
  </si>
  <si>
    <t>BASE DE CÁLCULO</t>
  </si>
  <si>
    <t>APLICAÇÕES DE RECURSOS</t>
  </si>
  <si>
    <t xml:space="preserve">FOLHA DE PAGAMENTO </t>
  </si>
  <si>
    <t>2. Recursos do fundo de apoio (CAU Básico)</t>
  </si>
  <si>
    <t>Valor</t>
  </si>
  <si>
    <t xml:space="preserve">% </t>
  </si>
  <si>
    <t>LIMITES</t>
  </si>
  <si>
    <t xml:space="preserve">Fórmula </t>
  </si>
  <si>
    <t>B- INDICADORES DE RESULTADO</t>
  </si>
  <si>
    <t>A- INDICADORES INSTITUCIONAIS</t>
  </si>
  <si>
    <t>B. Valor total das rescisões contratuais, auxílio alimentação, auxílio transporte, plano de saúde e demais benefícios.</t>
  </si>
  <si>
    <t>3. Soma (1+2)</t>
  </si>
  <si>
    <t>C. Receitas Correntes</t>
  </si>
  <si>
    <t>4. Aportes ao Fundo de Apoio</t>
  </si>
  <si>
    <t>Pessoal e Encargos</t>
  </si>
  <si>
    <t>A. Pessoal e Encargos (Valores totais)</t>
  </si>
  <si>
    <t>1. QUADRO GERAL</t>
  </si>
  <si>
    <t>1.1.3 RRT</t>
  </si>
  <si>
    <t xml:space="preserve">BASE DE CÁLCULO </t>
  </si>
  <si>
    <t>5.  Receita da Arrecadação Líquida (RAL = 3 - 4)</t>
  </si>
  <si>
    <t>1.1.1.1.2 Anuidade Exercícios anteriores</t>
  </si>
  <si>
    <t>1.1.1.2.2 Anuidade Exercícios anteriores</t>
  </si>
  <si>
    <t>1.1 Receitas de Arrecadação Total</t>
  </si>
  <si>
    <t>x 100</t>
  </si>
  <si>
    <t>número de usuários satisfeitos com a solução da demanda</t>
  </si>
  <si>
    <t>número de usuários que responderam a pesquisa</t>
  </si>
  <si>
    <t>total de notícias sobre questões de Arquitetura e Urbanismo</t>
  </si>
  <si>
    <t>total de inserções do CAU na mídia</t>
  </si>
  <si>
    <t>passivo circulante</t>
  </si>
  <si>
    <t>total de profissionais ativos</t>
  </si>
  <si>
    <t>total de empresas inadimplentes</t>
  </si>
  <si>
    <t>horas totais de treinamento</t>
  </si>
  <si>
    <t>número total de colaboradores e dirigentes</t>
  </si>
  <si>
    <t>total de usuários internos que participaram da pesquisa</t>
  </si>
  <si>
    <t>total de usuários externos que participaram da pesquisa</t>
  </si>
  <si>
    <t>01 - Erradicação da pobreza</t>
  </si>
  <si>
    <t>05 - Igualdade de gênero</t>
  </si>
  <si>
    <t>08 - Trabalho decente e crescimento econômico</t>
  </si>
  <si>
    <t>10 - Redução das desigualdades</t>
  </si>
  <si>
    <t>11 - Cidades e comunidades sustentáveis</t>
  </si>
  <si>
    <t>14 - Vida na água</t>
  </si>
  <si>
    <t>16 - Paz, justiça e instituições eficazes</t>
  </si>
  <si>
    <t>17 - Parcerias e meios de implementação</t>
  </si>
  <si>
    <t>02 - Fome zero e agricultura sustentável</t>
  </si>
  <si>
    <t>03 - Saúde e bem-estar</t>
  </si>
  <si>
    <t>04 - Educação de qualidade</t>
  </si>
  <si>
    <t>06 - Água limpa e saneamento</t>
  </si>
  <si>
    <t>09 - Inovação infraestrutura</t>
  </si>
  <si>
    <t>12 - Consumo e produção responsáveis</t>
  </si>
  <si>
    <t>13 - Ação contra a mudança global do clima</t>
  </si>
  <si>
    <t>15 - Vida terrestre</t>
  </si>
  <si>
    <t>Assegurar a eficácia no atendimento e no relacionamento com os Arquitetos e Urbanistas e a Sociedade</t>
  </si>
  <si>
    <t>Auto-Atendimento</t>
  </si>
  <si>
    <t>Qualificação dos Canais de Atendimento</t>
  </si>
  <si>
    <t>Ações Locais em Mídia</t>
  </si>
  <si>
    <t>Ações Nacionais em Mídia</t>
  </si>
  <si>
    <t>Atualização do Portal da Transparência</t>
  </si>
  <si>
    <t>Estimular a produção da Arquitetura e Urbanismo como política de Estado</t>
  </si>
  <si>
    <t>Representação em Instâncias Públicas</t>
  </si>
  <si>
    <t>Câmaras Temáticas</t>
  </si>
  <si>
    <t>Editais de Patrocínio</t>
  </si>
  <si>
    <t>Capacitação em ATHIS</t>
  </si>
  <si>
    <t>Cooperação Técnica para ATHIS</t>
  </si>
  <si>
    <t>Influenciar as diretrizes do ensino de Arquitetura e Urbanismo e sua formação continuada</t>
  </si>
  <si>
    <t>Ações de Melhoria da Qualidade do Ensino</t>
  </si>
  <si>
    <t>CAU nas Escolas</t>
  </si>
  <si>
    <t>Audiências de Conciliação</t>
  </si>
  <si>
    <t>Melhoria de Processo Ético</t>
  </si>
  <si>
    <t>Palestras e campanhas sobre Aspectos Éticos</t>
  </si>
  <si>
    <t>Cooperação Técnica para Fiscalização</t>
  </si>
  <si>
    <t>Plataforma de Georreferenciamento</t>
  </si>
  <si>
    <t>Fiscalização Orientativa</t>
  </si>
  <si>
    <t>Fiscalização em Obras</t>
  </si>
  <si>
    <t>Serviços de Terceiros- Diárias</t>
  </si>
  <si>
    <t>Serviços de Terceiros- Passagens</t>
  </si>
  <si>
    <t>Serviços de Terceiros- Serviços Prestados</t>
  </si>
  <si>
    <t>Serviços de Terceiros- Aluguéis e Encargos</t>
  </si>
  <si>
    <t>Transferências Correntes</t>
  </si>
  <si>
    <t>2.2 Outras Receitas de Capital</t>
  </si>
  <si>
    <t>1.3 Outras Receitas Correntes</t>
  </si>
  <si>
    <t>Não se aplica</t>
  </si>
  <si>
    <t>Atendimento Eletrônico</t>
  </si>
  <si>
    <t>Valorizar a Arquitetura e Urbanismo</t>
  </si>
  <si>
    <t>Garantir a participação dos Arquitetos e Urbanistas no planejamento territorial e na gestão urbana</t>
  </si>
  <si>
    <t xml:space="preserve">Reserva de Contingência </t>
  </si>
  <si>
    <t>RRT mínima</t>
  </si>
  <si>
    <t>número de usuários internos satisfeitos com a tecnologia</t>
  </si>
  <si>
    <t>número de usuários externos satisfeitos com a tecnologia</t>
  </si>
  <si>
    <t>ativo circulante</t>
  </si>
  <si>
    <t>total de profissionais inadimplentes</t>
  </si>
  <si>
    <t>número de processos éticos concluídos em um ano</t>
  </si>
  <si>
    <t>1.1.4 Taxas e Multas</t>
  </si>
  <si>
    <t xml:space="preserve">1. Receita de Arrecadação Total </t>
  </si>
  <si>
    <t>Sociedade</t>
  </si>
  <si>
    <t>número de municípios  da UF que possuem  Plano Diretor</t>
  </si>
  <si>
    <t>total de municípios da UF</t>
  </si>
  <si>
    <t xml:space="preserve">quantidade de ações de fiscalização realizadas pelo CAU/UF no mês </t>
  </si>
  <si>
    <t xml:space="preserve">número de ações de fiscalização previstas no Plano de Ação aprovado </t>
  </si>
  <si>
    <t>quantidade de obras e serviços regulares</t>
  </si>
  <si>
    <t>quantidade de obras e serviços fiscalizados pelo CAU/UF</t>
  </si>
  <si>
    <t>número total de RRT registrados (pagos) por mês</t>
  </si>
  <si>
    <t xml:space="preserve"> total de profissionais ativos </t>
  </si>
  <si>
    <t>quantidade de denúncias atendidas</t>
  </si>
  <si>
    <t>número de denúncias recebidas</t>
  </si>
  <si>
    <t>número de processos de fiscalização concluídos no semestre</t>
  </si>
  <si>
    <t xml:space="preserve"> número total de processos de fiscalização em aberto no ano</t>
  </si>
  <si>
    <t>quantidade de termos de cooperação técnica e parcerias para racionalização da ações de fiscalização</t>
  </si>
  <si>
    <t>número de termos e parcerias previstos no Plano de Ação</t>
  </si>
  <si>
    <t>quantidade mensal de ações de fiscalização realizada</t>
  </si>
  <si>
    <t>número de horas de fiscalização mensal</t>
  </si>
  <si>
    <t>quantidade obras e serviços com RRT</t>
  </si>
  <si>
    <t>quantidade de obras e serviços regularizados</t>
  </si>
  <si>
    <t>quantidade de obras e serviços regularizados com RRT</t>
  </si>
  <si>
    <t>quantidade obras e serviços regularizados</t>
  </si>
  <si>
    <t xml:space="preserve">número de reclamações recebidas pela Ouvidoria  no trimestre                                                                                                               </t>
  </si>
  <si>
    <t xml:space="preserve">número total de atendimentos pela Ouvidoria no trimestre                                   </t>
  </si>
  <si>
    <t>valor orçamentário investido (executado) em patrocínios no ano</t>
  </si>
  <si>
    <t>valor orçamentário destinado (orçado) em patrocínios no ano</t>
  </si>
  <si>
    <t>Quantidade de participantes presentes</t>
  </si>
  <si>
    <t>quantidade de participantes previstas no Plano de Ação Aprovado</t>
  </si>
  <si>
    <t>custos totais dos eventos</t>
  </si>
  <si>
    <t>quantidade de participantes presentes</t>
  </si>
  <si>
    <t>número de pessoas atingida pelo material produzido e distribuído</t>
  </si>
  <si>
    <t>quantidade de material informativo produzido</t>
  </si>
  <si>
    <t>número de ações com participação do CAU/UF</t>
  </si>
  <si>
    <t>número de municípios da UF que passaram a aplicar a Lei de Assistência Técnica</t>
  </si>
  <si>
    <t>quantidade de acessos qualificados (visitantes únicos) a página do CAU/UF</t>
  </si>
  <si>
    <t>número de inserções na mídia em geral onde o CAU/UF foi citado</t>
  </si>
  <si>
    <t>número de inserções positivas do CAU/UF na mídia</t>
  </si>
  <si>
    <t>Número de  visualizações das publicações do CAU/UF das redes sociais</t>
  </si>
  <si>
    <t>quantidade de visualizações das publicações do CAU/UF das redes sociais</t>
  </si>
  <si>
    <t>número de escolas da UF com a disciplina de ética profissional na grade curricular</t>
  </si>
  <si>
    <t>número total de escolas da UF</t>
  </si>
  <si>
    <t>número total de processos éticos abertos</t>
  </si>
  <si>
    <t>tempo médio de conclusão de processos éticos</t>
  </si>
  <si>
    <t>tempo máximo para conclusão de processo</t>
  </si>
  <si>
    <t>total de RRT na UF</t>
  </si>
  <si>
    <t>população total da UF/1000 habitantes</t>
  </si>
  <si>
    <t>RRT Social</t>
  </si>
  <si>
    <t>receita corrente</t>
  </si>
  <si>
    <t>custo total de pessoal</t>
  </si>
  <si>
    <t xml:space="preserve">total de empresas ativas </t>
  </si>
  <si>
    <t>número de processos mapeados</t>
  </si>
  <si>
    <t xml:space="preserve">total de processos existentes </t>
  </si>
  <si>
    <t>número de processos normatizados</t>
  </si>
  <si>
    <t>total de processos existentes</t>
  </si>
  <si>
    <t>número de processos automatizados</t>
  </si>
  <si>
    <t>Número de ações executadas</t>
  </si>
  <si>
    <t xml:space="preserve">quantidade de ações executadas voltadas à cultura organizacional e estratégia                                                                                                                  </t>
  </si>
  <si>
    <t>Índice de cumprimento das metas do Plano de Ação (%)</t>
  </si>
  <si>
    <t>COMENTÁRIOS/JUSTIFICATIVAS:</t>
  </si>
  <si>
    <t>1.1.1.1.1 Anuidade do Exercício 2022</t>
  </si>
  <si>
    <t>1.1.1.2.1 Anuidade do Exercício 2022</t>
  </si>
  <si>
    <t>Reprogramação
 2021</t>
  </si>
  <si>
    <t>07 - Energia limpa e acessível </t>
  </si>
  <si>
    <t>número de solicitações tratadas no prazo estipulado pela Carta de Serviços no trimestre</t>
  </si>
  <si>
    <t>número de solicitações abertas no trimestre</t>
  </si>
  <si>
    <t>total de RRT pagos na UF</t>
  </si>
  <si>
    <t>total de profissionais potenciais pagantes</t>
  </si>
  <si>
    <r>
      <t xml:space="preserve">Índice de municípios que possuem  Plano Diretor, em conformidade com os critérios da legislação (%) 
</t>
    </r>
    <r>
      <rPr>
        <b/>
        <sz val="12"/>
        <color theme="1"/>
        <rFont val="Calibri"/>
        <family val="2"/>
        <scheme val="minor"/>
      </rPr>
      <t xml:space="preserve">(CAU/UF) </t>
    </r>
  </si>
  <si>
    <r>
      <t xml:space="preserve">Índice da capacidade de fiscalização (%) 
</t>
    </r>
    <r>
      <rPr>
        <b/>
        <sz val="12"/>
        <rFont val="Calibri"/>
        <family val="2"/>
        <scheme val="minor"/>
      </rPr>
      <t xml:space="preserve">(CAU/UF) </t>
    </r>
  </si>
  <si>
    <r>
      <t xml:space="preserve">Índice de presença profissional nas obras e  serviços fiscalizados  (%)
</t>
    </r>
    <r>
      <rPr>
        <b/>
        <sz val="12"/>
        <rFont val="Calibri"/>
        <family val="2"/>
        <scheme val="minor"/>
      </rPr>
      <t xml:space="preserve">(CAU/UF) </t>
    </r>
    <r>
      <rPr>
        <sz val="12"/>
        <rFont val="Calibri"/>
        <family val="2"/>
        <scheme val="minor"/>
      </rPr>
      <t xml:space="preserve">                   </t>
    </r>
  </si>
  <si>
    <r>
      <t xml:space="preserve">Índice de RRT por profissional ativo (Qtd)
</t>
    </r>
    <r>
      <rPr>
        <b/>
        <sz val="12"/>
        <rFont val="Calibri"/>
        <family val="2"/>
        <scheme val="minor"/>
      </rPr>
      <t xml:space="preserve">(CAU/UF)         </t>
    </r>
    <r>
      <rPr>
        <sz val="12"/>
        <rFont val="Calibri"/>
        <family val="2"/>
        <scheme val="minor"/>
      </rPr>
      <t xml:space="preserve">       </t>
    </r>
  </si>
  <si>
    <r>
      <t xml:space="preserve">Índice de capacidade de atendimento de denúncias  (%)
</t>
    </r>
    <r>
      <rPr>
        <b/>
        <sz val="12"/>
        <rFont val="Calibri"/>
        <family val="2"/>
        <scheme val="minor"/>
      </rPr>
      <t>(CAU/UF)</t>
    </r>
  </si>
  <si>
    <r>
      <t xml:space="preserve">Índice de eficiência na conclusão de processos de fiscalização  (%)
</t>
    </r>
    <r>
      <rPr>
        <b/>
        <sz val="12"/>
        <rFont val="Calibri"/>
        <family val="2"/>
        <scheme val="minor"/>
      </rPr>
      <t>(CAU/UF)</t>
    </r>
  </si>
  <si>
    <r>
      <t xml:space="preserve">Índice da capacidade de articulação institucional para fiscalização (%)
</t>
    </r>
    <r>
      <rPr>
        <b/>
        <sz val="12"/>
        <rFont val="Calibri"/>
        <family val="2"/>
        <scheme val="minor"/>
      </rPr>
      <t>(CAU/UF)</t>
    </r>
  </si>
  <si>
    <r>
      <t xml:space="preserve">Índice produtividade de fiscalização (%)
</t>
    </r>
    <r>
      <rPr>
        <b/>
        <sz val="12"/>
        <rFont val="Calibri"/>
        <family val="2"/>
        <scheme val="minor"/>
      </rPr>
      <t>(CAU/UF)</t>
    </r>
  </si>
  <si>
    <r>
      <t xml:space="preserve">Índice de regularidade no CAU (%)
</t>
    </r>
    <r>
      <rPr>
        <b/>
        <sz val="12"/>
        <rFont val="Calibri"/>
        <family val="2"/>
        <scheme val="minor"/>
      </rPr>
      <t>(CAU/UF)</t>
    </r>
  </si>
  <si>
    <r>
      <t xml:space="preserve">Índice de regularização de obras e serviços (%)
</t>
    </r>
    <r>
      <rPr>
        <b/>
        <sz val="12"/>
        <rFont val="Calibri"/>
        <family val="2"/>
        <scheme val="minor"/>
      </rPr>
      <t>(CAU/UF)</t>
    </r>
  </si>
  <si>
    <r>
      <t xml:space="preserve">Índice de regularização com RRT (%)
</t>
    </r>
    <r>
      <rPr>
        <b/>
        <sz val="12"/>
        <rFont val="Calibri"/>
        <family val="2"/>
        <scheme val="minor"/>
      </rPr>
      <t>(CAU/UF)</t>
    </r>
  </si>
  <si>
    <r>
      <t xml:space="preserve">Índice de atendimento (%)
</t>
    </r>
    <r>
      <rPr>
        <b/>
        <sz val="12"/>
        <rFont val="Calibri"/>
        <family val="2"/>
        <scheme val="minor"/>
      </rPr>
      <t>(CAU/UF)</t>
    </r>
  </si>
  <si>
    <r>
      <t xml:space="preserve">Índice de satisfação com a solução da demanda (%)
</t>
    </r>
    <r>
      <rPr>
        <b/>
        <sz val="12"/>
        <rFont val="Calibri"/>
        <family val="2"/>
        <scheme val="minor"/>
      </rPr>
      <t>(CAU/UF)</t>
    </r>
  </si>
  <si>
    <r>
      <t xml:space="preserve">Índice de reclamações recebidas na Ouvidoria (%)
</t>
    </r>
    <r>
      <rPr>
        <b/>
        <sz val="12"/>
        <rFont val="Calibri"/>
        <family val="2"/>
        <scheme val="minor"/>
      </rPr>
      <t>(CAU/UF)</t>
    </r>
  </si>
  <si>
    <r>
      <t xml:space="preserve">Índice da capacidade de execução dos investimentos em patrocínios  (%)
</t>
    </r>
    <r>
      <rPr>
        <b/>
        <sz val="12"/>
        <rFont val="Calibri"/>
        <family val="2"/>
        <scheme val="minor"/>
      </rPr>
      <t>(CAU/UF)</t>
    </r>
  </si>
  <si>
    <r>
      <t xml:space="preserve">Índice de difusão de conhecimento em eventos próprios (%)
</t>
    </r>
    <r>
      <rPr>
        <b/>
        <sz val="12"/>
        <rFont val="Calibri"/>
        <family val="2"/>
        <scheme val="minor"/>
      </rPr>
      <t>(CAU/UF)</t>
    </r>
  </si>
  <si>
    <r>
      <t xml:space="preserve">Índice de eficiência de custos de eventos próprios
</t>
    </r>
    <r>
      <rPr>
        <b/>
        <sz val="12"/>
        <rFont val="Calibri"/>
        <family val="2"/>
        <scheme val="minor"/>
      </rPr>
      <t>(CAU/UF)</t>
    </r>
  </si>
  <si>
    <r>
      <t xml:space="preserve">Índice de alcance das melhores práticas (%)
</t>
    </r>
    <r>
      <rPr>
        <b/>
        <sz val="12"/>
        <rFont val="Calibri"/>
        <family val="2"/>
        <scheme val="minor"/>
      </rPr>
      <t>(CAU/UF)</t>
    </r>
  </si>
  <si>
    <r>
      <t xml:space="preserve">Ações realizadas em conjunto com municípios, destinadas ao planejamento urbano
</t>
    </r>
    <r>
      <rPr>
        <b/>
        <sz val="12"/>
        <color theme="1"/>
        <rFont val="Calibri"/>
        <family val="2"/>
        <scheme val="minor"/>
      </rPr>
      <t>(CAU/UF)</t>
    </r>
  </si>
  <si>
    <r>
      <t xml:space="preserve">Participação do CAU na elaboração ou regulamentação da Lei da Assistência Técnica Gratuita (Lei nº 11.888/08) (%)
</t>
    </r>
    <r>
      <rPr>
        <b/>
        <sz val="12"/>
        <rFont val="Calibri"/>
        <family val="2"/>
        <scheme val="minor"/>
      </rPr>
      <t>(CAU/UF)</t>
    </r>
  </si>
  <si>
    <r>
      <t xml:space="preserve">Índice de ações realizadas destinadas à Assistência Técnica (%)
</t>
    </r>
    <r>
      <rPr>
        <b/>
        <sz val="12"/>
        <rFont val="Calibri"/>
        <family val="2"/>
        <scheme val="minor"/>
      </rPr>
      <t>(CAU/UF)</t>
    </r>
  </si>
  <si>
    <r>
      <t xml:space="preserve">Acessos à página do CAU (Qtd.)
</t>
    </r>
    <r>
      <rPr>
        <b/>
        <sz val="12"/>
        <rFont val="Calibri"/>
        <family val="2"/>
        <scheme val="minor"/>
      </rPr>
      <t>(CAU/UF)</t>
    </r>
  </si>
  <si>
    <r>
      <t xml:space="preserve">Índice de presença na mídia como um todo (%)
</t>
    </r>
    <r>
      <rPr>
        <b/>
        <sz val="12"/>
        <rFont val="Calibri"/>
        <family val="2"/>
        <scheme val="minor"/>
      </rPr>
      <t>(CAU/UF)</t>
    </r>
  </si>
  <si>
    <r>
      <t xml:space="preserve">Índice de inserções positivas na mídia (%)
</t>
    </r>
    <r>
      <rPr>
        <b/>
        <sz val="12"/>
        <rFont val="Calibri"/>
        <family val="2"/>
        <scheme val="minor"/>
      </rPr>
      <t>(CAU/UF)</t>
    </r>
  </si>
  <si>
    <r>
      <t xml:space="preserve">Índice de escolas que possuem disciplinas com conteúdo sobre a ética profissional (%)
</t>
    </r>
    <r>
      <rPr>
        <b/>
        <sz val="12"/>
        <rFont val="Calibri"/>
        <family val="2"/>
        <scheme val="minor"/>
      </rPr>
      <t>(CAU/UF)</t>
    </r>
  </si>
  <si>
    <r>
      <t xml:space="preserve">Índice de eficiência na conclusão de processos éticos (%)
</t>
    </r>
    <r>
      <rPr>
        <b/>
        <sz val="12"/>
        <rFont val="Calibri"/>
        <family val="2"/>
        <scheme val="minor"/>
      </rPr>
      <t>(CAU/UF)</t>
    </r>
  </si>
  <si>
    <r>
      <t xml:space="preserve">Eficiência no trâmite de processos éticos (dias)
</t>
    </r>
    <r>
      <rPr>
        <b/>
        <sz val="12"/>
        <rFont val="Calibri"/>
        <family val="2"/>
        <scheme val="minor"/>
      </rPr>
      <t>(CAU/UF)</t>
    </r>
  </si>
  <si>
    <r>
      <t xml:space="preserve">Índice de RRT por população (1.000 habitantes) (%)
</t>
    </r>
    <r>
      <rPr>
        <b/>
        <sz val="12"/>
        <rFont val="Calibri"/>
        <family val="2"/>
        <scheme val="minor"/>
      </rPr>
      <t>(CAU/UF)</t>
    </r>
  </si>
  <si>
    <r>
      <t xml:space="preserve">Índice de RRT mínimos (%)
</t>
    </r>
    <r>
      <rPr>
        <b/>
        <sz val="12"/>
        <rFont val="Calibri"/>
        <family val="2"/>
        <scheme val="minor"/>
      </rPr>
      <t>(CAU/UF)</t>
    </r>
  </si>
  <si>
    <r>
      <t xml:space="preserve">Índice de RRT Social (%)
</t>
    </r>
    <r>
      <rPr>
        <b/>
        <sz val="12"/>
        <rFont val="Calibri"/>
        <family val="2"/>
        <scheme val="minor"/>
      </rPr>
      <t>(CAU/UF)</t>
    </r>
  </si>
  <si>
    <r>
      <t xml:space="preserve">Índice de receita por arquiteto e urbanista 
</t>
    </r>
    <r>
      <rPr>
        <b/>
        <sz val="12"/>
        <rFont val="Calibri"/>
        <family val="2"/>
        <scheme val="minor"/>
      </rPr>
      <t>(CAU/UF)</t>
    </r>
  </si>
  <si>
    <r>
      <t xml:space="preserve">Relação receita/custo total de pessoal (%)
</t>
    </r>
    <r>
      <rPr>
        <b/>
        <sz val="12"/>
        <rFont val="Calibri"/>
        <family val="2"/>
        <scheme val="minor"/>
      </rPr>
      <t>(CAU/UF)</t>
    </r>
  </si>
  <si>
    <r>
      <t xml:space="preserve">Índice de liquidez corrente 
</t>
    </r>
    <r>
      <rPr>
        <b/>
        <sz val="12"/>
        <rFont val="Calibri"/>
        <family val="2"/>
        <scheme val="minor"/>
      </rPr>
      <t>(CAU/UF)</t>
    </r>
  </si>
  <si>
    <r>
      <t xml:space="preserve">Índice de inadimplência pessoa física (%)
</t>
    </r>
    <r>
      <rPr>
        <b/>
        <sz val="12"/>
        <rFont val="Calibri"/>
        <family val="2"/>
        <scheme val="minor"/>
      </rPr>
      <t>(CAU/UF)</t>
    </r>
  </si>
  <si>
    <r>
      <t xml:space="preserve">Índice de inadimplência pessoa jurídica (%)
</t>
    </r>
    <r>
      <rPr>
        <b/>
        <sz val="12"/>
        <rFont val="Calibri"/>
        <family val="2"/>
        <scheme val="minor"/>
      </rPr>
      <t>(CAU/UF)</t>
    </r>
  </si>
  <si>
    <r>
      <t xml:space="preserve">Índice de mapeamento processos (%)
</t>
    </r>
    <r>
      <rPr>
        <b/>
        <sz val="12"/>
        <rFont val="Calibri"/>
        <family val="2"/>
        <scheme val="minor"/>
      </rPr>
      <t>(CAU/UF)</t>
    </r>
  </si>
  <si>
    <r>
      <t xml:space="preserve">Índice de normatização de processos (%)
</t>
    </r>
    <r>
      <rPr>
        <b/>
        <sz val="12"/>
        <rFont val="Calibri"/>
        <family val="2"/>
        <scheme val="minor"/>
      </rPr>
      <t>(CAU/UF)</t>
    </r>
  </si>
  <si>
    <r>
      <t xml:space="preserve">Índice de automação de processos (%)
</t>
    </r>
    <r>
      <rPr>
        <b/>
        <sz val="12"/>
        <rFont val="Calibri"/>
        <family val="2"/>
        <scheme val="minor"/>
      </rPr>
      <t>(CAU/UF)</t>
    </r>
  </si>
  <si>
    <r>
      <t xml:space="preserve">Média de horas de treinamento por colaboradores e dirigentes
</t>
    </r>
    <r>
      <rPr>
        <b/>
        <sz val="12"/>
        <rFont val="Calibri"/>
        <family val="2"/>
        <scheme val="minor"/>
      </rPr>
      <t>(CAU/UF)</t>
    </r>
  </si>
  <si>
    <r>
      <t>total de iniciativas executadas</t>
    </r>
    <r>
      <rPr>
        <b/>
        <sz val="12"/>
        <rFont val="Calibri"/>
        <family val="2"/>
        <scheme val="minor"/>
      </rPr>
      <t xml:space="preserve">                                                                       </t>
    </r>
  </si>
  <si>
    <r>
      <t>total de iniciativas planejadas</t>
    </r>
    <r>
      <rPr>
        <b/>
        <sz val="12"/>
        <rFont val="Calibri"/>
        <family val="2"/>
        <scheme val="minor"/>
      </rPr>
      <t xml:space="preserve">                                                                                  </t>
    </r>
  </si>
  <si>
    <r>
      <t xml:space="preserve">Índice de satisfação interna com a tecnologia utilizada (%)
</t>
    </r>
    <r>
      <rPr>
        <b/>
        <sz val="12"/>
        <rFont val="Calibri"/>
        <family val="2"/>
        <scheme val="minor"/>
      </rPr>
      <t>(CAU/UF)</t>
    </r>
  </si>
  <si>
    <r>
      <t xml:space="preserve">Índice de satisfação externa com a tecnologia utilizada (%)
</t>
    </r>
    <r>
      <rPr>
        <b/>
        <sz val="12"/>
        <rFont val="Calibri"/>
        <family val="2"/>
        <scheme val="minor"/>
      </rPr>
      <t>(CAU/UF)</t>
    </r>
  </si>
  <si>
    <t>LEGENDA: P = PROJETO/ A = ATIVIDADE/ PE = PROJETO ESPECÍFICO / FA = FUNDO DE APOIO</t>
  </si>
  <si>
    <t>P</t>
  </si>
  <si>
    <t>A</t>
  </si>
  <si>
    <t>PE</t>
  </si>
  <si>
    <t>P.</t>
  </si>
  <si>
    <t>A.</t>
  </si>
  <si>
    <t>PE.</t>
  </si>
  <si>
    <t>2. Receitas de Capital</t>
  </si>
  <si>
    <r>
      <t xml:space="preserve">Fiscalização
</t>
    </r>
    <r>
      <rPr>
        <b/>
        <sz val="12"/>
        <color rgb="FF006871"/>
        <rFont val="Calibri"/>
        <family val="2"/>
        <scheme val="minor"/>
      </rPr>
      <t xml:space="preserve">(mínimo de 15 % do total da RAL)  </t>
    </r>
    <r>
      <rPr>
        <b/>
        <sz val="12"/>
        <color rgb="FF009999"/>
        <rFont val="Calibri"/>
        <family val="2"/>
        <scheme val="minor"/>
      </rPr>
      <t xml:space="preserve">  </t>
    </r>
    <r>
      <rPr>
        <b/>
        <sz val="12"/>
        <color indexed="8"/>
        <rFont val="Calibri"/>
        <family val="2"/>
        <scheme val="minor"/>
      </rPr>
      <t xml:space="preserve">                                                                     </t>
    </r>
  </si>
  <si>
    <r>
      <t xml:space="preserve"> Despesas com Pessoal
</t>
    </r>
    <r>
      <rPr>
        <b/>
        <sz val="12"/>
        <color rgb="FF006871"/>
        <rFont val="Calibri"/>
        <family val="2"/>
        <scheme val="minor"/>
      </rPr>
      <t>(máximo de 55% sobre as Receitas Correntes)</t>
    </r>
  </si>
  <si>
    <r>
      <t xml:space="preserve">Atendimento
</t>
    </r>
    <r>
      <rPr>
        <b/>
        <sz val="12"/>
        <color rgb="FF006871"/>
        <rFont val="Calibri"/>
        <family val="2"/>
        <scheme val="minor"/>
      </rPr>
      <t>(mínimo de 10 % do total da RAL)</t>
    </r>
  </si>
  <si>
    <r>
      <t>Capacitação</t>
    </r>
    <r>
      <rPr>
        <b/>
        <sz val="12"/>
        <color indexed="10"/>
        <rFont val="Calibri"/>
        <family val="2"/>
        <scheme val="minor"/>
      </rPr>
      <t xml:space="preserve"> 
</t>
    </r>
    <r>
      <rPr>
        <b/>
        <sz val="12"/>
        <color rgb="FF006871"/>
        <rFont val="Calibri"/>
        <family val="2"/>
        <scheme val="minor"/>
      </rPr>
      <t>(mínimo de 2% e máximo de 4% da Folha de Pagamento)</t>
    </r>
    <r>
      <rPr>
        <b/>
        <sz val="12"/>
        <color theme="4" tint="-0.249977111117893"/>
        <rFont val="Calibri"/>
        <family val="2"/>
        <scheme val="minor"/>
      </rPr>
      <t xml:space="preserve">  </t>
    </r>
    <r>
      <rPr>
        <b/>
        <sz val="12"/>
        <rFont val="Calibri"/>
        <family val="2"/>
        <scheme val="minor"/>
      </rPr>
      <t xml:space="preserve">      </t>
    </r>
    <r>
      <rPr>
        <b/>
        <sz val="12"/>
        <color rgb="FF0070C0"/>
        <rFont val="Calibri"/>
        <family val="2"/>
        <scheme val="minor"/>
      </rPr>
      <t xml:space="preserve"> </t>
    </r>
    <r>
      <rPr>
        <b/>
        <sz val="12"/>
        <color indexed="57"/>
        <rFont val="Calibri"/>
        <family val="2"/>
        <scheme val="minor"/>
      </rPr>
      <t xml:space="preserve">         </t>
    </r>
  </si>
  <si>
    <r>
      <t xml:space="preserve">Comunicação
</t>
    </r>
    <r>
      <rPr>
        <b/>
        <sz val="12"/>
        <color rgb="FF006871"/>
        <rFont val="Calibri"/>
        <family val="2"/>
        <scheme val="minor"/>
      </rPr>
      <t>(mínimo de 3% do total da RAL)</t>
    </r>
    <r>
      <rPr>
        <b/>
        <sz val="12"/>
        <color rgb="FF0070C0"/>
        <rFont val="Calibri"/>
        <family val="2"/>
        <scheme val="minor"/>
      </rPr>
      <t xml:space="preserve">    </t>
    </r>
    <r>
      <rPr>
        <b/>
        <sz val="12"/>
        <color indexed="21"/>
        <rFont val="Calibri"/>
        <family val="2"/>
        <scheme val="minor"/>
      </rPr>
      <t xml:space="preserve">         </t>
    </r>
    <r>
      <rPr>
        <b/>
        <sz val="12"/>
        <color indexed="57"/>
        <rFont val="Calibri"/>
        <family val="2"/>
        <scheme val="minor"/>
      </rPr>
      <t xml:space="preserve">                                                                                </t>
    </r>
  </si>
  <si>
    <r>
      <t xml:space="preserve">Patrocínio
</t>
    </r>
    <r>
      <rPr>
        <b/>
        <sz val="12"/>
        <color rgb="FF006871"/>
        <rFont val="Calibri"/>
        <family val="2"/>
        <scheme val="minor"/>
      </rPr>
      <t>(máximo de 5% do total da RAL)</t>
    </r>
    <r>
      <rPr>
        <b/>
        <sz val="12"/>
        <color theme="4" tint="-0.249977111117893"/>
        <rFont val="Calibri"/>
        <family val="2"/>
        <scheme val="minor"/>
      </rPr>
      <t xml:space="preserve">   </t>
    </r>
    <r>
      <rPr>
        <b/>
        <sz val="12"/>
        <color indexed="10"/>
        <rFont val="Calibri"/>
        <family val="2"/>
        <scheme val="minor"/>
      </rPr>
      <t xml:space="preserve">      </t>
    </r>
    <r>
      <rPr>
        <b/>
        <sz val="12"/>
        <color indexed="8"/>
        <rFont val="Calibri"/>
        <family val="2"/>
        <scheme val="minor"/>
      </rPr>
      <t xml:space="preserve">                                                                            </t>
    </r>
  </si>
  <si>
    <r>
      <t xml:space="preserve">Objetivos Estratégicos Locais
</t>
    </r>
    <r>
      <rPr>
        <b/>
        <sz val="12"/>
        <color rgb="FF006871"/>
        <rFont val="Calibri"/>
        <family val="2"/>
        <scheme val="minor"/>
      </rPr>
      <t>(mínimo de 6 % do total da RAL)</t>
    </r>
    <r>
      <rPr>
        <b/>
        <sz val="12"/>
        <color theme="4" tint="-0.249977111117893"/>
        <rFont val="Calibri"/>
        <family val="2"/>
        <scheme val="minor"/>
      </rPr>
      <t xml:space="preserve"> </t>
    </r>
    <r>
      <rPr>
        <b/>
        <sz val="12"/>
        <color indexed="21"/>
        <rFont val="Calibri"/>
        <family val="2"/>
        <scheme val="minor"/>
      </rPr>
      <t xml:space="preserve">                        </t>
    </r>
  </si>
  <si>
    <r>
      <t xml:space="preserve">Assistência Técnica
</t>
    </r>
    <r>
      <rPr>
        <b/>
        <sz val="12"/>
        <color rgb="FF006871"/>
        <rFont val="Calibri"/>
        <family val="2"/>
        <scheme val="minor"/>
      </rPr>
      <t xml:space="preserve">(mínimo de 2% do total da RAL) </t>
    </r>
    <r>
      <rPr>
        <b/>
        <sz val="12"/>
        <color theme="1"/>
        <rFont val="Calibri"/>
        <family val="2"/>
        <scheme val="minor"/>
      </rPr>
      <t xml:space="preserve">   </t>
    </r>
  </si>
  <si>
    <r>
      <t xml:space="preserve">Reserva de Contingência
</t>
    </r>
    <r>
      <rPr>
        <b/>
        <sz val="12"/>
        <color rgb="FF006871"/>
        <rFont val="Calibri"/>
        <family val="2"/>
        <scheme val="minor"/>
      </rPr>
      <t xml:space="preserve">(até 2 % do total da RAL)   </t>
    </r>
    <r>
      <rPr>
        <b/>
        <sz val="12"/>
        <color indexed="21"/>
        <rFont val="Calibri"/>
        <family val="2"/>
        <scheme val="minor"/>
      </rPr>
      <t xml:space="preserve">           </t>
    </r>
  </si>
  <si>
    <t>TO</t>
  </si>
  <si>
    <t>SP</t>
  </si>
  <si>
    <t>SE</t>
  </si>
  <si>
    <t>SC</t>
  </si>
  <si>
    <t>RS</t>
  </si>
  <si>
    <t>RR</t>
  </si>
  <si>
    <t>RO</t>
  </si>
  <si>
    <t>RN</t>
  </si>
  <si>
    <t>RJ</t>
  </si>
  <si>
    <t>PR</t>
  </si>
  <si>
    <t>PI</t>
  </si>
  <si>
    <t>PB</t>
  </si>
  <si>
    <t>PA</t>
  </si>
  <si>
    <t>RRT - Quantidade</t>
  </si>
  <si>
    <t>MT</t>
  </si>
  <si>
    <t>PJ - Inadimplência</t>
  </si>
  <si>
    <t>MS</t>
  </si>
  <si>
    <t>PJ - Quantidade</t>
  </si>
  <si>
    <t>MG</t>
  </si>
  <si>
    <t>PF - Inadimplência</t>
  </si>
  <si>
    <t>1.1.3 Taxas e Multas</t>
  </si>
  <si>
    <t>MA</t>
  </si>
  <si>
    <t>GO</t>
  </si>
  <si>
    <t>Quantidades e Inadimplência</t>
  </si>
  <si>
    <t>ES</t>
  </si>
  <si>
    <t>DF</t>
  </si>
  <si>
    <t>Superávit Financeiro 2020</t>
  </si>
  <si>
    <t>CE</t>
  </si>
  <si>
    <t>Encontro de Contas</t>
  </si>
  <si>
    <t>BA</t>
  </si>
  <si>
    <t>Fundo de Apoio - Plenárias Ampliadas</t>
  </si>
  <si>
    <t>AP</t>
  </si>
  <si>
    <t>Fundo de Apoio - APORTE</t>
  </si>
  <si>
    <t>AM</t>
  </si>
  <si>
    <t>CSC - SISCAF</t>
  </si>
  <si>
    <t>AL</t>
  </si>
  <si>
    <t>CSC - Atendimento</t>
  </si>
  <si>
    <t>AC</t>
  </si>
  <si>
    <t>CSC - Fiscalização</t>
  </si>
  <si>
    <t>Quantitativo</t>
  </si>
  <si>
    <t>Inadimplência</t>
  </si>
  <si>
    <t>Taxas Bancárias
(Outras Receitas)</t>
  </si>
  <si>
    <t>Manutenção</t>
  </si>
  <si>
    <t>Atendimento</t>
  </si>
  <si>
    <t>Fiscalização</t>
  </si>
  <si>
    <t>Repasse do Fundo de Apoio</t>
  </si>
  <si>
    <t>Utilização com Plenárias Ampliadas</t>
  </si>
  <si>
    <t>Aporte ao
Fundo de Apoio</t>
  </si>
  <si>
    <t>Reprogramação</t>
  </si>
  <si>
    <t>Exercícios Anteriores</t>
  </si>
  <si>
    <t>Exercício</t>
  </si>
  <si>
    <t>Demais valores a checar</t>
  </si>
  <si>
    <t>Fontes de Receitas Correntes (80%)</t>
  </si>
  <si>
    <t>Superávit financiero
apurado em 2020</t>
  </si>
  <si>
    <t>RRT</t>
  </si>
  <si>
    <t>PJ</t>
  </si>
  <si>
    <t>PF</t>
  </si>
  <si>
    <t>Taxas</t>
  </si>
  <si>
    <t>Informações para os Indicadores</t>
  </si>
  <si>
    <t>Ressarcimento</t>
  </si>
  <si>
    <t>SISCAF</t>
  </si>
  <si>
    <t>CSC</t>
  </si>
  <si>
    <t>Fundo de Apoio</t>
  </si>
  <si>
    <t>UF</t>
  </si>
  <si>
    <t>Reprogramação 
2022</t>
  </si>
  <si>
    <t>Ativos</t>
  </si>
  <si>
    <t>Potencial Pagantes</t>
  </si>
  <si>
    <t>Pessoas e Infraestrutura</t>
  </si>
  <si>
    <t>Processos Internos</t>
  </si>
  <si>
    <t>Qde.</t>
  </si>
  <si>
    <t>Part. %</t>
  </si>
  <si>
    <t>Total Iniciativas</t>
  </si>
  <si>
    <t>Atividade</t>
  </si>
  <si>
    <t>Projeto</t>
  </si>
  <si>
    <t>Projetos/Objetivos Estratégicos</t>
  </si>
  <si>
    <t>Perspectivas</t>
  </si>
  <si>
    <t>Projeto Específico</t>
  </si>
  <si>
    <t>Objetivos Locais</t>
  </si>
  <si>
    <t>selecione abaixo</t>
  </si>
  <si>
    <t>PF - Ativos</t>
  </si>
  <si>
    <t>PF - Potencial Pagantes</t>
  </si>
  <si>
    <t>nº da coluna</t>
  </si>
  <si>
    <t>População estimada 2021</t>
  </si>
  <si>
    <t>Dados Geográficos</t>
  </si>
  <si>
    <t>População - 2021</t>
  </si>
  <si>
    <t>gerplan2022</t>
  </si>
  <si>
    <t xml:space="preserve">Part. %
 (E)           </t>
  </si>
  <si>
    <t>A - FONTES</t>
  </si>
  <si>
    <t>-</t>
  </si>
  <si>
    <t xml:space="preserve">CAU/UF:  </t>
  </si>
  <si>
    <t>Meta 2021 - Alcançada</t>
  </si>
  <si>
    <t>Meta Prevista
Reprogramação
2021</t>
  </si>
  <si>
    <t>Meta alcançada  2020</t>
  </si>
  <si>
    <t>Meta alcançada  2019</t>
  </si>
  <si>
    <t>Os resultados podem ser apresentados na forma de tabelas e gráficos dos principais indicadores, contendo as metas atingidas nos últimos exercícios, possibilitando a visualização de suas evoluções ao longo do tempo, além de metas para o próximo exercício.</t>
  </si>
  <si>
    <t>NOTA 1:</t>
  </si>
  <si>
    <t>Efetividade</t>
  </si>
  <si>
    <t>P/A/PE
P./A./PE.</t>
  </si>
  <si>
    <t>Resultado Previsto</t>
  </si>
  <si>
    <t>Reprogramação 
2021
 (A)</t>
  </si>
  <si>
    <t>Indicadores Institucionais e de Resultado (agrupados por objetivo estratégico) - Relatório de Gestão - Exercício 2021</t>
  </si>
  <si>
    <t>Quadro Geral - Relatório de Gestão - Exercício 2021</t>
  </si>
  <si>
    <t>Demonstrativo das Fontes - Relatório de Gestão - Exercício 2021</t>
  </si>
  <si>
    <t xml:space="preserve"> Limites de Aplicação dos Recursos Estratégicos - Relatório de Gestão - Exercício 2021</t>
  </si>
  <si>
    <t>Receitas Realizadas                    2021                              (B)</t>
  </si>
  <si>
    <t>Execução</t>
  </si>
  <si>
    <t>%       
 (C=B/A)</t>
  </si>
  <si>
    <t>Execução
(%)</t>
  </si>
  <si>
    <t>Executado
2021</t>
  </si>
  <si>
    <t>Reprogramação 
2021</t>
  </si>
  <si>
    <r>
      <rPr>
        <b/>
        <sz val="16"/>
        <color theme="1"/>
        <rFont val="Calibri"/>
        <family val="2"/>
        <scheme val="minor"/>
      </rPr>
      <t>OBS 1: Deverá justificar no caso de</t>
    </r>
    <r>
      <rPr>
        <b/>
        <u/>
        <sz val="16"/>
        <color rgb="FF0070C0"/>
        <rFont val="Calibri"/>
        <family val="2"/>
        <scheme val="minor"/>
      </rPr>
      <t xml:space="preserve"> inobservância</t>
    </r>
    <r>
      <rPr>
        <b/>
        <sz val="16"/>
        <color theme="1"/>
        <rFont val="Calibri"/>
        <family val="2"/>
        <scheme val="minor"/>
      </rPr>
      <t xml:space="preserve"> de aplicação dos percentuais:</t>
    </r>
    <r>
      <rPr>
        <b/>
        <sz val="12"/>
        <color theme="1"/>
        <rFont val="Calibri"/>
        <family val="2"/>
        <scheme val="minor"/>
      </rPr>
      <t xml:space="preserve">
Atendimento - mínimo de 10% da RAL
Fiscalização – mínimo de 15% da RAL
Despesa com pessoal – até 55% das receitas correntes
Comunicação - mínimo de 3% da RAL
Objetivos Locais - mínimo de 6% da RAL
Patrocínios - máximo de 5% da RAL
ATHIS - mínimo de 2% da RAL
Capacitação – mínimo de 2% e máximo de 4% da folha de pagamento</t>
    </r>
  </si>
  <si>
    <t xml:space="preserve">JUSTIFICATIVA - </t>
  </si>
  <si>
    <t xml:space="preserve">NOTA 2: </t>
  </si>
  <si>
    <t>Reprogramação                    2021                                     (A)</t>
  </si>
  <si>
    <t>Reprogramação   com transposição                 2021                                     (B)</t>
  </si>
  <si>
    <t>Executado                        2021                             (C)</t>
  </si>
  <si>
    <t>% 
(E=C/B *100)</t>
  </si>
  <si>
    <t>NOTA 3:</t>
  </si>
  <si>
    <r>
      <t xml:space="preserve">O valor do "Executado 2021": retirar do SISCONT. NET, no caminho "Centro de Custos&gt; Relatórios&gt; Demonstrativo de empenhos/pagamentos"; período de  01/01/2021 até 31/12/2021; na coluna </t>
    </r>
    <r>
      <rPr>
        <b/>
        <i/>
        <u/>
        <sz val="12"/>
        <color rgb="FFFF0000"/>
        <rFont val="Calibri"/>
        <family val="2"/>
        <scheme val="minor"/>
      </rPr>
      <t xml:space="preserve">EMPENHO.
</t>
    </r>
    <r>
      <rPr>
        <sz val="12"/>
        <color theme="1"/>
        <rFont val="Calibri"/>
        <family val="2"/>
        <scheme val="minor"/>
      </rPr>
      <t>SUGESTÃO: Baixar o arquivo do Siscont.NET em EXCEL e incluir como uma nova aba nesta planila Auxiliar.</t>
    </r>
  </si>
  <si>
    <r>
      <t>1. O valor do "Executado 2021-</t>
    </r>
    <r>
      <rPr>
        <b/>
        <sz val="12"/>
        <color theme="1"/>
        <rFont val="Calibri"/>
        <family val="2"/>
        <scheme val="minor"/>
      </rPr>
      <t>DESPESAS</t>
    </r>
    <r>
      <rPr>
        <sz val="12"/>
        <color theme="1"/>
        <rFont val="Calibri"/>
        <family val="2"/>
        <scheme val="minor"/>
      </rPr>
      <t>": retirar do SISCONT. NET, no caminho "Centro de Custos&gt; Relatórios&gt; Demonstrativo de empenhos/pagamentos"; período de  01/01/2021 até 31/12/2021; na coluna EMPENHO, ou "Contabilidade&gt; Relatórios&gt; Balanço Orçamentário"; período de 01/01/2021 até 31/12/2021; na coluna DESPESAS   EMPENHADAS .</t>
    </r>
  </si>
  <si>
    <r>
      <t>2. O valor das "Executado 2021-</t>
    </r>
    <r>
      <rPr>
        <b/>
        <sz val="12"/>
        <color theme="1"/>
        <rFont val="Calibri"/>
        <family val="2"/>
        <scheme val="minor"/>
      </rPr>
      <t>RECEITAS</t>
    </r>
    <r>
      <rPr>
        <sz val="12"/>
        <color theme="1"/>
        <rFont val="Calibri"/>
        <family val="2"/>
        <scheme val="minor"/>
      </rPr>
      <t>": retirar do SISCONT. NET, no caminho:  "Contabilidade&gt; Relatórios&gt; Balanço Orçamentário"; período de 01/01/2021 até 31/12/2021; na coluna RECEITAS REALIZADAS.</t>
    </r>
  </si>
  <si>
    <t>3. Incluir as justificativas da inobservância dos limites não alcançados e a base dos valores das rescisões contratuais, auxílio alimentação, auxílio transporte, plano de saúde e demais benefícios.</t>
  </si>
  <si>
    <t>O valor das "Receitas realizadas 2021": retirar do SISCONT. NET, no caminho:  "Contabilidade&gt; Relatórios&gt; Balanço Orçamentário"; período de 01/01/2021 até 31/12/2021; na coluna RECEITAS REALIZADAS.
SUGESTÃO: Baixar o arquivo do Siscont.NET em "EXCEL" e incluir como uma nova aba nesta planilha Auxiliar.</t>
  </si>
  <si>
    <t>1.1.1.1.1 Anuidade do Exercício 2021</t>
  </si>
  <si>
    <t>1.1.1.2.1 Anuidade do Exercício 2021</t>
  </si>
  <si>
    <t>Não medido</t>
  </si>
  <si>
    <t xml:space="preserve">Fundo de Apoio aos CAU/UF </t>
  </si>
  <si>
    <t>Reserva  de contingência</t>
  </si>
  <si>
    <t>Centro de Serviços Compartilhados - CSC Fiscalização</t>
  </si>
  <si>
    <t>Centro de Serviços Compartilhados - CSC - Atendimento</t>
  </si>
  <si>
    <t>Despesas Financeiras</t>
  </si>
  <si>
    <t xml:space="preserve">Manutenção do atendimento ao Arquiteto e Urbanista </t>
  </si>
  <si>
    <t>Manutenção das rotinas administrativas do CAU/RN</t>
  </si>
  <si>
    <t>Patrocínio</t>
  </si>
  <si>
    <t>Capacitação do Quadro Efetivo</t>
  </si>
  <si>
    <t>Plano de Mídia</t>
  </si>
  <si>
    <t>Eventos</t>
  </si>
  <si>
    <t>Reforma da sede</t>
  </si>
  <si>
    <t>ATHIS - Assistência Técnica em Habitações de Interesse Social</t>
  </si>
  <si>
    <t>Relações Institucionais</t>
  </si>
  <si>
    <t>Comissão de Organização, Planejamento e Finanças - COAPF</t>
  </si>
  <si>
    <t>Comissão de Organização, Administração, Planejamento e Finanças</t>
  </si>
  <si>
    <t>Comissão de Ensino, Formação e Exercício Profissional</t>
  </si>
  <si>
    <t>Comissão de Ética e Disciplina</t>
  </si>
  <si>
    <t>Comissão de Reforma da Sede - CRS</t>
  </si>
  <si>
    <t>Comissão de Política Profissional - CPP</t>
  </si>
  <si>
    <t>Comissão Temporária Temática de Relações Institucionais</t>
  </si>
  <si>
    <t>Garantir a sustentatibilidade do sistema CAU como um todo, através do aporte de recursos para a manutenção dos CAU com menos recursos financeiros.</t>
  </si>
  <si>
    <t>Suprir eventuais necessidades emergenciais que possam surgir no exercício 2021.</t>
  </si>
  <si>
    <t>Manutenção do Centro de Serviços Compartilhados do Conselho, que inclui todos os sistemas relativos ao atendimento, fiscalização e processos internos.</t>
  </si>
  <si>
    <t>Agilizar e aprimorar os procedimentos financeiros do CAU/RN, garantindo a manuntenção de suas atividades institucionais.</t>
  </si>
  <si>
    <t>Dar suporte estrutural ao CAU/RN, oferecendo boas condições de trabalho ao corpo técnico e dirigentes, e proporcionando um bom atendimento aos profissionais arquitetos e urbanistas, entidades e sociedade.</t>
  </si>
  <si>
    <t>Conscientizar os profissionais Arquietos e Urbanistas e exercerem suas atividades de forma legal; assim como conscientizar a sociedade de modo geral sobre a importância em contratar um profissional Arquiteto e Urbanista.</t>
  </si>
  <si>
    <t>Atingir positivamente a categoria dos profissionais Arquitetos e Urbanistas, assim como a sociedade como um todo, trazendo mais informação e conhecimento.</t>
  </si>
  <si>
    <t>Investir na capacitação dos colaboradores do CAU/RN, gerando um ambiente de motivação e influenciando, assim, positivamente o desenvolvimento das atividades do Conselho em todas as esferas.</t>
  </si>
  <si>
    <t>Aperfeiçoar a comunicação do CAU/RN dentre os Profissionais Arquitetos e Urbanistas, Entidades e Sociedade, assim como praticar a transparência levando à sociedade, os assuntos pertinentes a Arquitetura como um todo.</t>
  </si>
  <si>
    <t>Colaborar, através da partipação de seus Conselheiros e/ou Convidados de interesse do Conselho, com a consolidação e  a difusão da atividade dos Arquitetos e Urbanistas, ressaltando sua importância e contribuindo para a consolidação das melhores práticas em Arquitetura e Urbanismo.</t>
  </si>
  <si>
    <t>Oferecer ao profissional Arquiteto e Urbanista, Corpo Técnico e Dirigente do CAU/RN, assim como para as entidades e sociedade, uma infraestrutura de qualidade, fácil acesso e conforto.</t>
  </si>
  <si>
    <t>Desenvolver uma ação significativa e relevante  na área de Assistência Técnica para habitação de Interesse Social, conscientizando a sociedade sobre o papel do profissional Arquiteto e Urbanista.</t>
  </si>
  <si>
    <t>Desenvolver ações para a inclusão do CAU/RN, e da categoria dos Arquitetos e Urbanistas como um todo, dentro dos órgãos de planejamento urbano, prefeituras, conselhos, câmaras temáticas, entre outros, ajudando a afirmar o papel da profissão e possibilitando a participação na maior quantidade de espaços institucionais sob nossa influência.</t>
  </si>
  <si>
    <t>"Concluído"</t>
  </si>
  <si>
    <t>"Parcialmente Concluído"</t>
  </si>
  <si>
    <t>"Não Realizado"</t>
  </si>
  <si>
    <t>De forma geral, a execução dos projetos e atividades pelo CAU/RN foi satisfatória, com alguns percalços pontuais que merecem justificativa. O primeiro deles é a execução da Ativ.8 - Fiscalização, que se encontrou em 84,6%. Isso se deve a não termos conseguido retomar a nossa fiscalização na quantidade e peridiciocidade inicialmente planejadas, já que esta atividade segue, ainda, sob impacto do cenário de pandemia da COVID-19. Cabe destacar, todavia, que o número de ações de fiscalização aumentou no segundo semestre de 2021. Outro projeto que cabe tecer considerações foi o Proj 2 - Capacitação do Quadro Efetivo, com execução de apenas 62,9% do montante previsto. De forma geral, isso se deveu a não termos conseguido, ainda, treinar os membros de nossa comissão de licitação para desempenho da função seguindo os ditames da nova lei de licitações, que passa a ser obrigatória em 2023. Nesse caso, optamos por provisionar ação no Plano de Ação 2022 com este objetivo. Outro ponto é que a persistência do cenário pandêmico diminuiu o número de eventos presenciais, reuniões de capacitação e junto ao Conselho Federal, o que diminuiu os gastos suportados por esta rubrica. Por fim, cabe destacar a execução de apenas 4,9% do valor destinado ao Proj. 5 - Reforma da Sede. Essa execução baixa decorreu do fato de não termos conseguido dar início à execução da reforma em si no ano de 2021. Apenas conseguimos concluir os projetos executivos, necessários à obra. Previsão é de que a reforma em si será licitada no início de 2022.</t>
  </si>
  <si>
    <t>Como demonstrado no quadro acima, o CAU/RN atendeu todos os limites estratégicos previstos no Plano de Ação 2021, à exceção da indice mínimo destinado a capacitação de pessoal. No Plano de Ação 2021 o principal treinamento de capacitação previsto era a capacitação do setor jurídico e dos integrantes da comissão de licitação nos ditames da nova lei de Licitações, Lei n. 14133/2021, que passa a ser obrigatória em 2023. Infelizmente até o final do ano não conseguimos localizar um curso que atendesse nossas necessidades nesse sentido, motivo pelo qual a capacitação foi transferida para o ano de 2022, ainda antes da obrigatoriedade no uso da nova lei.  Quanto aos valores pagos a título de benefícios, R$ 239,60 (duzentos e trinta e nove reais e sessenta centavos), referem-se ao custeio de vale transporte para 1 (um) colaborador que optou pelo recebimento do benefício, sendo que o valor refere-se apenas a contrapartida da empresa, já que o custeio é feito parcialmente atraves do desconto de 6% da remuneração bruta do funcionário.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</si>
</sst>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1" formatCode="_-* #,##0_-;\-* #,##0_-;_-* &quot;-&quot;_-;_-@_-"/>
    <numFmt numFmtId="43" formatCode="_-* #,##0.00_-;\-* #,##0.00_-;_-* &quot;-&quot;??_-;_-@_-"/>
    <numFmt numFmtId="164" formatCode="_-&quot;R$&quot;\ * #,##0.00_-;\-&quot;R$&quot;\ * #,##0.00_-;_-&quot;R$&quot;\ * &quot;-&quot;??_-;_-@_-"/>
    <numFmt numFmtId="165" formatCode="_(* #,##0.00_);_(* \(#,##0.00\);_(* &quot;-&quot;??_);_(@_)"/>
    <numFmt numFmtId="166" formatCode="0.0"/>
    <numFmt numFmtId="167" formatCode="0.0%"/>
    <numFmt numFmtId="168" formatCode="_-* #,##0_-;\-* #,##0_-;_-* &quot;-&quot;??_-;_-@_-"/>
    <numFmt numFmtId="169" formatCode="_(* #,##0_);_(* \(#,##0\);_(* &quot;-&quot;??_);_(@_)"/>
    <numFmt numFmtId="170" formatCode="_(* #,##0.0_);_(* \(#,##0.0\);_(* &quot;-&quot;??_);_(@_)"/>
    <numFmt numFmtId="171" formatCode="&quot;R$&quot;#,##0.00"/>
    <numFmt numFmtId="172" formatCode="_-&quot;R$&quot;\ * #,##0_-;\-&quot;R$&quot;\ * #,##0_-;_-&quot;R$&quot;\ * &quot;-&quot;??_-;_-@_-"/>
    <numFmt numFmtId="173" formatCode="#,##0.0_ ;\-#,##0.0\ "/>
    <numFmt numFmtId="174" formatCode="0.0000"/>
    <numFmt numFmtId="175" formatCode="_-* #,##0.00_-;\-* #,##0.00_-;_-* &quot;-&quot;_-;_-@_-"/>
  </numFmts>
  <fonts count="5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2"/>
      <color indexed="81"/>
      <name val="Tahoma"/>
      <family val="2"/>
    </font>
    <font>
      <b/>
      <sz val="13"/>
      <color indexed="81"/>
      <name val="Tahoma"/>
      <family val="2"/>
    </font>
    <font>
      <b/>
      <sz val="11"/>
      <color indexed="81"/>
      <name val="Tahoma"/>
      <family val="2"/>
    </font>
    <font>
      <b/>
      <sz val="9"/>
      <color indexed="81"/>
      <name val="Segoe UI"/>
      <family val="2"/>
    </font>
    <font>
      <sz val="9"/>
      <color indexed="81"/>
      <name val="Segoe UI"/>
      <family val="2"/>
    </font>
    <font>
      <sz val="11"/>
      <color indexed="81"/>
      <name val="Tahoma"/>
      <family val="2"/>
    </font>
    <font>
      <sz val="11"/>
      <color theme="0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b/>
      <sz val="14"/>
      <color indexed="81"/>
      <name val="Tahoma"/>
      <family val="2"/>
    </font>
    <font>
      <sz val="11"/>
      <color rgb="FF000000"/>
      <name val="Calibri"/>
      <family val="2"/>
    </font>
    <font>
      <b/>
      <sz val="14"/>
      <color indexed="81"/>
      <name val="Calibri Light"/>
      <family val="2"/>
      <scheme val="major"/>
    </font>
    <font>
      <sz val="8"/>
      <name val="Calibri"/>
      <family val="2"/>
      <scheme val="minor"/>
    </font>
    <font>
      <b/>
      <sz val="16"/>
      <color indexed="81"/>
      <name val="Tahoma"/>
      <family val="2"/>
    </font>
    <font>
      <b/>
      <sz val="11"/>
      <color theme="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1"/>
      <name val="Arial"/>
      <family val="2"/>
    </font>
    <font>
      <sz val="12"/>
      <color theme="0"/>
      <name val="Calibri"/>
      <family val="2"/>
      <scheme val="minor"/>
    </font>
    <font>
      <sz val="12"/>
      <color theme="1" tint="0.499984740745262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rgb="FF006871"/>
      <name val="Calibri"/>
      <family val="2"/>
      <scheme val="minor"/>
    </font>
    <font>
      <b/>
      <sz val="12"/>
      <color rgb="FF009999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2"/>
      <color indexed="10"/>
      <name val="Calibri"/>
      <family val="2"/>
      <scheme val="minor"/>
    </font>
    <font>
      <b/>
      <sz val="12"/>
      <color theme="4" tint="-0.249977111117893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2"/>
      <color indexed="57"/>
      <name val="Calibri"/>
      <family val="2"/>
      <scheme val="minor"/>
    </font>
    <font>
      <b/>
      <sz val="12"/>
      <color indexed="21"/>
      <name val="Calibri"/>
      <family val="2"/>
      <scheme val="minor"/>
    </font>
    <font>
      <sz val="12"/>
      <color indexed="81"/>
      <name val="Segoe UI"/>
      <family val="2"/>
    </font>
    <font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sz val="18"/>
      <color theme="1"/>
      <name val="Arial"/>
      <family val="2"/>
    </font>
    <font>
      <sz val="12"/>
      <color rgb="FFFF0000"/>
      <name val="Arial"/>
      <family val="2"/>
    </font>
    <font>
      <b/>
      <strike/>
      <sz val="12"/>
      <color theme="1"/>
      <name val="Calibri"/>
      <family val="2"/>
      <scheme val="minor"/>
    </font>
    <font>
      <sz val="18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indexed="81"/>
      <name val="Calibri"/>
      <family val="2"/>
      <scheme val="minor"/>
    </font>
    <font>
      <b/>
      <sz val="11"/>
      <color indexed="81"/>
      <name val="Segoe UI"/>
      <family val="2"/>
    </font>
    <font>
      <b/>
      <sz val="12"/>
      <color indexed="81"/>
      <name val="Calibri Light"/>
      <family val="2"/>
      <scheme val="major"/>
    </font>
    <font>
      <b/>
      <sz val="16"/>
      <color theme="1"/>
      <name val="Calibri"/>
      <family val="2"/>
      <scheme val="minor"/>
    </font>
    <font>
      <b/>
      <u/>
      <sz val="16"/>
      <color rgb="FF0070C0"/>
      <name val="Calibri"/>
      <family val="2"/>
      <scheme val="minor"/>
    </font>
    <font>
      <b/>
      <i/>
      <u/>
      <sz val="12"/>
      <color rgb="FFFF0000"/>
      <name val="Calibri"/>
      <family val="2"/>
      <scheme val="minor"/>
    </font>
    <font>
      <sz val="11"/>
      <color rgb="FF9C6500"/>
      <name val="Calibri"/>
      <family val="2"/>
      <scheme val="minor"/>
    </font>
    <font>
      <sz val="16"/>
      <color theme="1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rgb="FFF2F2F2"/>
      </patternFill>
    </fill>
    <fill>
      <patternFill patternType="solid">
        <fgColor rgb="FFFFFADE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4BAC3"/>
        <bgColor indexed="64"/>
      </patternFill>
    </fill>
    <fill>
      <patternFill patternType="solid">
        <fgColor rgb="FF528693"/>
        <bgColor indexed="64"/>
      </patternFill>
    </fill>
    <fill>
      <patternFill patternType="solid">
        <fgColor rgb="FF2A5664"/>
        <bgColor indexed="64"/>
      </patternFill>
    </fill>
    <fill>
      <patternFill patternType="solid">
        <fgColor rgb="FFE4F0F0"/>
        <bgColor indexed="64"/>
      </patternFill>
    </fill>
    <fill>
      <patternFill patternType="lightGray">
        <bgColor rgb="FF2A5664"/>
      </patternFill>
    </fill>
    <fill>
      <patternFill patternType="solid">
        <fgColor rgb="FF006666"/>
        <bgColor indexed="64"/>
      </patternFill>
    </fill>
    <fill>
      <patternFill patternType="darkGrid">
        <bgColor theme="0"/>
      </patternFill>
    </fill>
    <fill>
      <patternFill patternType="solid">
        <fgColor theme="9" tint="-0.249977111117893"/>
        <bgColor indexed="64"/>
      </patternFill>
    </fill>
    <fill>
      <patternFill patternType="darkTrellis">
        <bgColor theme="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DEEBF6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EB9C"/>
      </patternFill>
    </fill>
    <fill>
      <patternFill patternType="solid">
        <fgColor rgb="FFFFFFFF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1" tint="0.499984740745262"/>
      </right>
      <top style="thin">
        <color theme="1"/>
      </top>
      <bottom/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/>
      <diagonal/>
    </border>
    <border>
      <left style="thin">
        <color indexed="64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 style="medium">
        <color indexed="64"/>
      </left>
      <right style="thin">
        <color theme="1" tint="0.499984740745262"/>
      </right>
      <top/>
      <bottom style="thin">
        <color theme="1"/>
      </bottom>
      <diagonal/>
    </border>
    <border>
      <left/>
      <right style="thin">
        <color indexed="64"/>
      </right>
      <top/>
      <bottom style="thin">
        <color theme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/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0"/>
      </left>
      <right/>
      <top style="medium">
        <color theme="0"/>
      </top>
      <bottom/>
      <diagonal/>
    </border>
    <border>
      <left/>
      <right/>
      <top/>
      <bottom style="medium">
        <color theme="0"/>
      </bottom>
      <diagonal/>
    </border>
    <border>
      <left/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/>
      <right/>
      <top style="medium">
        <color theme="0"/>
      </top>
      <bottom/>
      <diagonal/>
    </border>
    <border>
      <left/>
      <right style="medium">
        <color theme="0"/>
      </right>
      <top style="medium">
        <color theme="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/>
      <diagonal/>
    </border>
    <border>
      <left style="thin">
        <color indexed="64"/>
      </left>
      <right style="thin">
        <color indexed="64"/>
      </right>
      <top/>
      <bottom style="thin">
        <color theme="1"/>
      </bottom>
      <diagonal/>
    </border>
  </borders>
  <cellStyleXfs count="21">
    <xf numFmtId="0" fontId="0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5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7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5" fillId="0" borderId="0"/>
    <xf numFmtId="0" fontId="1" fillId="0" borderId="0"/>
    <xf numFmtId="172" fontId="15" fillId="0" borderId="0" applyBorder="0" applyProtection="0"/>
    <xf numFmtId="0" fontId="51" fillId="22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85">
    <xf numFmtId="0" fontId="0" fillId="0" borderId="0" xfId="0"/>
    <xf numFmtId="0" fontId="0" fillId="0" borderId="0" xfId="0"/>
    <xf numFmtId="0" fontId="3" fillId="0" borderId="0" xfId="0" applyFont="1"/>
    <xf numFmtId="0" fontId="23" fillId="2" borderId="0" xfId="0" applyFont="1" applyFill="1"/>
    <xf numFmtId="0" fontId="23" fillId="2" borderId="0" xfId="0" applyFont="1" applyFill="1" applyBorder="1" applyAlignment="1">
      <alignment vertical="center" wrapText="1"/>
    </xf>
    <xf numFmtId="0" fontId="23" fillId="2" borderId="0" xfId="0" applyFont="1" applyFill="1" applyBorder="1"/>
    <xf numFmtId="0" fontId="23" fillId="2" borderId="0" xfId="0" applyFont="1" applyFill="1" applyBorder="1" applyAlignment="1">
      <alignment horizontal="left" vertical="center" wrapText="1"/>
    </xf>
    <xf numFmtId="0" fontId="23" fillId="2" borderId="0" xfId="0" applyFont="1" applyFill="1" applyBorder="1" applyAlignment="1">
      <alignment horizontal="left" vertical="center"/>
    </xf>
    <xf numFmtId="165" fontId="3" fillId="2" borderId="1" xfId="2" applyFont="1" applyFill="1" applyBorder="1" applyAlignment="1" applyProtection="1">
      <alignment vertical="center" wrapText="1"/>
      <protection locked="0"/>
    </xf>
    <xf numFmtId="0" fontId="3" fillId="0" borderId="0" xfId="0" applyFont="1" applyAlignment="1">
      <alignment horizontal="center"/>
    </xf>
    <xf numFmtId="41" fontId="24" fillId="10" borderId="1" xfId="0" applyNumberFormat="1" applyFont="1" applyFill="1" applyBorder="1" applyAlignment="1" applyProtection="1">
      <alignment horizontal="center" vertical="center" wrapText="1"/>
    </xf>
    <xf numFmtId="166" fontId="24" fillId="10" borderId="1" xfId="0" applyNumberFormat="1" applyFont="1" applyFill="1" applyBorder="1" applyAlignment="1" applyProtection="1">
      <alignment horizontal="center" vertical="center" wrapText="1"/>
    </xf>
    <xf numFmtId="165" fontId="2" fillId="2" borderId="1" xfId="2" applyFont="1" applyFill="1" applyBorder="1" applyAlignment="1" applyProtection="1">
      <alignment vertical="center" wrapText="1"/>
      <protection locked="0"/>
    </xf>
    <xf numFmtId="165" fontId="2" fillId="3" borderId="1" xfId="2" applyNumberFormat="1" applyFont="1" applyFill="1" applyBorder="1" applyAlignment="1" applyProtection="1">
      <alignment horizontal="left" vertical="center" wrapText="1"/>
    </xf>
    <xf numFmtId="170" fontId="2" fillId="3" borderId="1" xfId="2" applyNumberFormat="1" applyFont="1" applyFill="1" applyBorder="1" applyAlignment="1" applyProtection="1">
      <alignment horizontal="left" vertical="center" wrapText="1"/>
    </xf>
    <xf numFmtId="169" fontId="0" fillId="0" borderId="0" xfId="2" applyNumberFormat="1" applyFont="1"/>
    <xf numFmtId="170" fontId="0" fillId="0" borderId="0" xfId="2" applyNumberFormat="1" applyFont="1"/>
    <xf numFmtId="165" fontId="0" fillId="0" borderId="0" xfId="2" applyFont="1" applyFill="1" applyBorder="1"/>
    <xf numFmtId="165" fontId="0" fillId="0" borderId="0" xfId="2" applyFont="1"/>
    <xf numFmtId="165" fontId="13" fillId="0" borderId="0" xfId="2" applyFont="1"/>
    <xf numFmtId="165" fontId="0" fillId="0" borderId="0" xfId="2" applyFont="1" applyAlignment="1">
      <alignment horizontal="center"/>
    </xf>
    <xf numFmtId="0" fontId="0" fillId="0" borderId="0" xfId="0" applyAlignment="1">
      <alignment horizontal="center"/>
    </xf>
    <xf numFmtId="167" fontId="0" fillId="0" borderId="0" xfId="1" applyNumberFormat="1" applyFont="1"/>
    <xf numFmtId="43" fontId="0" fillId="0" borderId="0" xfId="0" applyNumberFormat="1"/>
    <xf numFmtId="169" fontId="0" fillId="0" borderId="0" xfId="2" applyNumberFormat="1" applyFont="1" applyAlignment="1">
      <alignment horizontal="center"/>
    </xf>
    <xf numFmtId="170" fontId="0" fillId="0" borderId="0" xfId="2" applyNumberFormat="1" applyFont="1" applyAlignment="1">
      <alignment horizontal="center"/>
    </xf>
    <xf numFmtId="165" fontId="0" fillId="4" borderId="0" xfId="2" applyFont="1" applyFill="1"/>
    <xf numFmtId="0" fontId="21" fillId="13" borderId="35" xfId="0" applyFont="1" applyFill="1" applyBorder="1" applyAlignment="1">
      <alignment horizontal="center" vertical="center"/>
    </xf>
    <xf numFmtId="0" fontId="39" fillId="2" borderId="0" xfId="0" applyFont="1" applyFill="1"/>
    <xf numFmtId="165" fontId="3" fillId="0" borderId="0" xfId="2" applyFont="1" applyAlignment="1">
      <alignment horizontal="center"/>
    </xf>
    <xf numFmtId="169" fontId="3" fillId="2" borderId="1" xfId="2" applyNumberFormat="1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>
      <alignment horizontal="center" vertical="center" wrapText="1"/>
    </xf>
    <xf numFmtId="165" fontId="2" fillId="2" borderId="1" xfId="2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170" fontId="3" fillId="2" borderId="1" xfId="2" applyNumberFormat="1" applyFont="1" applyFill="1" applyBorder="1" applyAlignment="1" applyProtection="1">
      <alignment horizontal="center" vertical="center" wrapText="1"/>
      <protection locked="0"/>
    </xf>
    <xf numFmtId="165" fontId="2" fillId="14" borderId="1" xfId="2" applyFont="1" applyFill="1" applyBorder="1" applyAlignment="1" applyProtection="1">
      <alignment horizontal="center" vertical="center"/>
      <protection locked="0"/>
    </xf>
    <xf numFmtId="165" fontId="3" fillId="2" borderId="1" xfId="2" applyFont="1" applyFill="1" applyBorder="1" applyAlignment="1" applyProtection="1">
      <alignment horizontal="center" vertical="center" wrapText="1"/>
      <protection locked="0"/>
    </xf>
    <xf numFmtId="0" fontId="22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65" fontId="2" fillId="3" borderId="1" xfId="2" applyFont="1" applyFill="1" applyBorder="1" applyAlignment="1" applyProtection="1">
      <alignment horizontal="center" vertical="center" wrapText="1"/>
      <protection locked="0"/>
    </xf>
    <xf numFmtId="165" fontId="3" fillId="3" borderId="1" xfId="2" applyFont="1" applyFill="1" applyBorder="1" applyAlignment="1" applyProtection="1">
      <alignment horizontal="center" vertical="center" wrapText="1"/>
      <protection locked="0"/>
    </xf>
    <xf numFmtId="165" fontId="2" fillId="3" borderId="1" xfId="2" applyFont="1" applyFill="1" applyBorder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165" fontId="2" fillId="3" borderId="4" xfId="2" applyFont="1" applyFill="1" applyBorder="1" applyAlignment="1">
      <alignment horizontal="center" vertical="center" wrapText="1"/>
    </xf>
    <xf numFmtId="169" fontId="21" fillId="13" borderId="37" xfId="2" applyNumberFormat="1" applyFont="1" applyFill="1" applyBorder="1" applyAlignment="1">
      <alignment horizontal="center" vertical="center" wrapText="1"/>
    </xf>
    <xf numFmtId="170" fontId="21" fillId="13" borderId="35" xfId="2" applyNumberFormat="1" applyFont="1" applyFill="1" applyBorder="1" applyAlignment="1">
      <alignment horizontal="center" vertical="center" wrapText="1"/>
    </xf>
    <xf numFmtId="169" fontId="21" fillId="13" borderId="35" xfId="2" applyNumberFormat="1" applyFont="1" applyFill="1" applyBorder="1" applyAlignment="1">
      <alignment horizontal="center" vertical="center" wrapText="1"/>
    </xf>
    <xf numFmtId="169" fontId="21" fillId="13" borderId="38" xfId="2" applyNumberFormat="1" applyFont="1" applyFill="1" applyBorder="1" applyAlignment="1">
      <alignment horizontal="center" vertical="center" wrapText="1"/>
    </xf>
    <xf numFmtId="49" fontId="0" fillId="0" borderId="0" xfId="2" applyNumberFormat="1" applyFont="1" applyFill="1" applyBorder="1" applyAlignment="1">
      <alignment horizontal="center" vertical="center" wrapText="1"/>
    </xf>
    <xf numFmtId="165" fontId="21" fillId="13" borderId="39" xfId="2" applyFont="1" applyFill="1" applyBorder="1" applyAlignment="1">
      <alignment horizontal="center" vertical="center" wrapText="1"/>
    </xf>
    <xf numFmtId="49" fontId="21" fillId="13" borderId="35" xfId="2" applyNumberFormat="1" applyFont="1" applyFill="1" applyBorder="1" applyAlignment="1">
      <alignment horizontal="center" vertical="center" wrapText="1"/>
    </xf>
    <xf numFmtId="49" fontId="0" fillId="0" borderId="0" xfId="2" applyNumberFormat="1" applyFont="1" applyAlignment="1">
      <alignment horizontal="center" vertical="center" wrapText="1"/>
    </xf>
    <xf numFmtId="49" fontId="13" fillId="0" borderId="0" xfId="2" applyNumberFormat="1" applyFont="1" applyAlignment="1">
      <alignment horizontal="center" vertical="center" wrapText="1"/>
    </xf>
    <xf numFmtId="49" fontId="0" fillId="0" borderId="0" xfId="0" applyNumberFormat="1"/>
    <xf numFmtId="165" fontId="24" fillId="15" borderId="41" xfId="2" applyFont="1" applyFill="1" applyBorder="1" applyAlignment="1">
      <alignment horizontal="center" vertical="center" wrapText="1"/>
    </xf>
    <xf numFmtId="0" fontId="24" fillId="13" borderId="11" xfId="0" applyFont="1" applyFill="1" applyBorder="1" applyAlignment="1">
      <alignment horizontal="center" vertical="center" wrapText="1"/>
    </xf>
    <xf numFmtId="169" fontId="21" fillId="13" borderId="37" xfId="2" applyNumberFormat="1" applyFont="1" applyFill="1" applyBorder="1" applyAlignment="1">
      <alignment horizontal="center" vertical="center"/>
    </xf>
    <xf numFmtId="49" fontId="0" fillId="0" borderId="0" xfId="2" applyNumberFormat="1" applyFont="1" applyFill="1" applyBorder="1"/>
    <xf numFmtId="49" fontId="0" fillId="0" borderId="0" xfId="2" applyNumberFormat="1" applyFont="1"/>
    <xf numFmtId="49" fontId="13" fillId="0" borderId="0" xfId="2" applyNumberFormat="1" applyFont="1"/>
    <xf numFmtId="165" fontId="39" fillId="0" borderId="0" xfId="2" applyFont="1"/>
    <xf numFmtId="165" fontId="13" fillId="0" borderId="0" xfId="2" applyFont="1" applyFill="1" applyBorder="1"/>
    <xf numFmtId="49" fontId="21" fillId="13" borderId="40" xfId="2" applyNumberFormat="1" applyFont="1" applyFill="1" applyBorder="1" applyAlignment="1">
      <alignment horizontal="center" vertical="center" wrapText="1"/>
    </xf>
    <xf numFmtId="0" fontId="40" fillId="0" borderId="0" xfId="11" applyFont="1"/>
    <xf numFmtId="167" fontId="14" fillId="0" borderId="0" xfId="1" applyNumberFormat="1" applyFont="1"/>
    <xf numFmtId="0" fontId="23" fillId="0" borderId="1" xfId="11" applyFont="1" applyBorder="1" applyAlignment="1">
      <alignment vertical="center" wrapText="1" readingOrder="1"/>
    </xf>
    <xf numFmtId="0" fontId="25" fillId="0" borderId="0" xfId="11" applyFont="1" applyAlignment="1">
      <alignment horizontal="left"/>
    </xf>
    <xf numFmtId="0" fontId="25" fillId="0" borderId="0" xfId="11" applyFont="1"/>
    <xf numFmtId="166" fontId="41" fillId="0" borderId="0" xfId="11" applyNumberFormat="1" applyFont="1" applyAlignment="1">
      <alignment horizontal="center" vertical="center"/>
    </xf>
    <xf numFmtId="0" fontId="41" fillId="0" borderId="0" xfId="11" applyFont="1" applyAlignment="1">
      <alignment horizontal="center" vertical="center"/>
    </xf>
    <xf numFmtId="166" fontId="25" fillId="0" borderId="0" xfId="11" applyNumberFormat="1" applyFont="1"/>
    <xf numFmtId="41" fontId="25" fillId="0" borderId="0" xfId="11" applyNumberFormat="1" applyFont="1"/>
    <xf numFmtId="165" fontId="25" fillId="0" borderId="0" xfId="2" applyFont="1"/>
    <xf numFmtId="165" fontId="41" fillId="0" borderId="0" xfId="2" applyFont="1" applyAlignment="1">
      <alignment horizontal="center" vertical="center"/>
    </xf>
    <xf numFmtId="0" fontId="24" fillId="10" borderId="48" xfId="11" applyFont="1" applyFill="1" applyBorder="1" applyAlignment="1">
      <alignment horizontal="center" vertical="center" wrapText="1"/>
    </xf>
    <xf numFmtId="165" fontId="24" fillId="10" borderId="48" xfId="2" applyFont="1" applyFill="1" applyBorder="1" applyAlignment="1">
      <alignment horizontal="center" vertical="center" wrapText="1"/>
    </xf>
    <xf numFmtId="165" fontId="24" fillId="10" borderId="1" xfId="2" applyFont="1" applyFill="1" applyBorder="1" applyAlignment="1">
      <alignment horizontal="center"/>
    </xf>
    <xf numFmtId="41" fontId="24" fillId="10" borderId="1" xfId="11" applyNumberFormat="1" applyFont="1" applyFill="1" applyBorder="1" applyAlignment="1">
      <alignment horizontal="center"/>
    </xf>
    <xf numFmtId="165" fontId="23" fillId="0" borderId="0" xfId="2" applyFont="1"/>
    <xf numFmtId="0" fontId="3" fillId="0" borderId="0" xfId="11" applyFont="1" applyAlignment="1">
      <alignment horizontal="left" vertical="center"/>
    </xf>
    <xf numFmtId="0" fontId="26" fillId="10" borderId="0" xfId="11" applyFont="1" applyFill="1" applyAlignment="1">
      <alignment horizontal="center" vertical="center"/>
    </xf>
    <xf numFmtId="165" fontId="3" fillId="16" borderId="1" xfId="2" applyFont="1" applyFill="1" applyBorder="1" applyAlignment="1" applyProtection="1">
      <alignment horizontal="center" vertical="center" wrapText="1"/>
      <protection locked="0"/>
    </xf>
    <xf numFmtId="0" fontId="42" fillId="3" borderId="1" xfId="0" applyFont="1" applyFill="1" applyBorder="1" applyAlignment="1">
      <alignment horizontal="center" vertical="center" wrapText="1"/>
    </xf>
    <xf numFmtId="0" fontId="2" fillId="17" borderId="1" xfId="0" applyFont="1" applyFill="1" applyBorder="1" applyAlignment="1">
      <alignment horizontal="center" vertical="center" wrapText="1"/>
    </xf>
    <xf numFmtId="0" fontId="22" fillId="17" borderId="1" xfId="0" applyFont="1" applyFill="1" applyBorder="1" applyAlignment="1">
      <alignment horizontal="center" vertical="center" wrapText="1"/>
    </xf>
    <xf numFmtId="165" fontId="38" fillId="2" borderId="0" xfId="2" applyFont="1" applyFill="1" applyAlignment="1">
      <alignment vertical="center" wrapText="1"/>
    </xf>
    <xf numFmtId="0" fontId="14" fillId="0" borderId="0" xfId="0" applyFont="1" applyProtection="1">
      <protection locked="0"/>
    </xf>
    <xf numFmtId="0" fontId="14" fillId="2" borderId="0" xfId="0" applyFont="1" applyFill="1" applyProtection="1">
      <protection locked="0"/>
    </xf>
    <xf numFmtId="0" fontId="3" fillId="2" borderId="0" xfId="0" applyFont="1" applyFill="1" applyProtection="1">
      <protection locked="0"/>
    </xf>
    <xf numFmtId="0" fontId="24" fillId="2" borderId="0" xfId="0" applyFont="1" applyFill="1" applyAlignment="1" applyProtection="1">
      <alignment horizontal="left" vertical="center"/>
      <protection locked="0"/>
    </xf>
    <xf numFmtId="0" fontId="3" fillId="2" borderId="0" xfId="0" applyFont="1" applyFill="1" applyAlignment="1" applyProtection="1">
      <alignment wrapText="1"/>
      <protection locked="0"/>
    </xf>
    <xf numFmtId="0" fontId="24" fillId="10" borderId="15" xfId="0" applyFont="1" applyFill="1" applyBorder="1" applyAlignment="1" applyProtection="1">
      <alignment horizontal="left" vertical="center" wrapText="1"/>
      <protection locked="0"/>
    </xf>
    <xf numFmtId="0" fontId="24" fillId="10" borderId="18" xfId="0" applyFont="1" applyFill="1" applyBorder="1" applyAlignment="1" applyProtection="1">
      <alignment horizontal="center" vertical="center" wrapText="1"/>
      <protection locked="0"/>
    </xf>
    <xf numFmtId="0" fontId="23" fillId="0" borderId="28" xfId="0" applyFont="1" applyBorder="1" applyAlignment="1" applyProtection="1">
      <alignment horizontal="center" wrapText="1"/>
      <protection locked="0"/>
    </xf>
    <xf numFmtId="0" fontId="23" fillId="0" borderId="28" xfId="0" applyFont="1" applyBorder="1" applyAlignment="1" applyProtection="1">
      <alignment horizontal="center" vertical="top" wrapText="1"/>
      <protection locked="0"/>
    </xf>
    <xf numFmtId="0" fontId="24" fillId="2" borderId="5" xfId="0" applyFont="1" applyFill="1" applyBorder="1" applyAlignment="1" applyProtection="1">
      <alignment horizontal="left" vertical="center"/>
      <protection locked="0"/>
    </xf>
    <xf numFmtId="0" fontId="24" fillId="2" borderId="0" xfId="0" applyFont="1" applyFill="1" applyBorder="1" applyAlignment="1" applyProtection="1">
      <alignment horizontal="left" vertical="center"/>
      <protection locked="0"/>
    </xf>
    <xf numFmtId="0" fontId="3" fillId="2" borderId="0" xfId="0" applyFont="1" applyFill="1" applyBorder="1" applyAlignment="1" applyProtection="1">
      <alignment wrapText="1"/>
      <protection locked="0"/>
    </xf>
    <xf numFmtId="0" fontId="24" fillId="10" borderId="1" xfId="0" applyFont="1" applyFill="1" applyBorder="1" applyAlignment="1" applyProtection="1">
      <alignment horizontal="left" vertical="center" wrapText="1"/>
      <protection locked="0"/>
    </xf>
    <xf numFmtId="0" fontId="23" fillId="0" borderId="1" xfId="0" applyFont="1" applyBorder="1" applyAlignment="1" applyProtection="1">
      <alignment horizontal="center" wrapText="1"/>
      <protection locked="0"/>
    </xf>
    <xf numFmtId="0" fontId="23" fillId="0" borderId="1" xfId="0" applyFont="1" applyBorder="1" applyAlignment="1" applyProtection="1">
      <alignment horizontal="center" vertical="top" wrapText="1"/>
      <protection locked="0"/>
    </xf>
    <xf numFmtId="0" fontId="23" fillId="2" borderId="1" xfId="0" applyFont="1" applyFill="1" applyBorder="1" applyAlignment="1" applyProtection="1">
      <alignment horizontal="center" wrapText="1"/>
      <protection locked="0"/>
    </xf>
    <xf numFmtId="0" fontId="2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left" vertical="center" wrapText="1"/>
      <protection locked="0"/>
    </xf>
    <xf numFmtId="0" fontId="23" fillId="2" borderId="1" xfId="0" applyFont="1" applyFill="1" applyBorder="1" applyAlignment="1" applyProtection="1">
      <alignment horizontal="left" vertical="center" wrapText="1"/>
      <protection locked="0"/>
    </xf>
    <xf numFmtId="0" fontId="23" fillId="5" borderId="1" xfId="3" applyFont="1" applyFill="1" applyBorder="1" applyAlignment="1" applyProtection="1">
      <alignment horizontal="center" wrapText="1"/>
      <protection locked="0"/>
    </xf>
    <xf numFmtId="0" fontId="23" fillId="5" borderId="1" xfId="3" applyFont="1" applyFill="1" applyBorder="1" applyAlignment="1" applyProtection="1">
      <alignment horizontal="center" vertical="top" wrapText="1"/>
      <protection locked="0"/>
    </xf>
    <xf numFmtId="0" fontId="23" fillId="2" borderId="1" xfId="3" applyFont="1" applyFill="1" applyBorder="1" applyAlignment="1" applyProtection="1">
      <alignment horizontal="center" wrapText="1"/>
      <protection locked="0"/>
    </xf>
    <xf numFmtId="0" fontId="23" fillId="2" borderId="1" xfId="3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 applyProtection="1">
      <alignment horizontal="center" vertical="top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3" fillId="0" borderId="0" xfId="0" applyFont="1" applyProtection="1">
      <protection locked="0"/>
    </xf>
    <xf numFmtId="0" fontId="3" fillId="0" borderId="0" xfId="0" applyFont="1" applyAlignment="1" applyProtection="1">
      <alignment wrapText="1"/>
      <protection locked="0"/>
    </xf>
    <xf numFmtId="0" fontId="3" fillId="2" borderId="0" xfId="0" applyFont="1" applyFill="1" applyProtection="1"/>
    <xf numFmtId="0" fontId="22" fillId="2" borderId="0" xfId="0" applyFont="1" applyFill="1" applyBorder="1" applyAlignment="1" applyProtection="1">
      <alignment horizontal="center" vertical="center" wrapText="1"/>
    </xf>
    <xf numFmtId="1" fontId="23" fillId="2" borderId="0" xfId="1" applyNumberFormat="1" applyFont="1" applyFill="1" applyBorder="1" applyAlignment="1" applyProtection="1">
      <alignment horizontal="center" vertical="center"/>
    </xf>
    <xf numFmtId="1" fontId="23" fillId="2" borderId="0" xfId="1" applyNumberFormat="1" applyFont="1" applyFill="1" applyBorder="1" applyAlignment="1" applyProtection="1">
      <alignment horizontal="center" vertical="center" wrapText="1"/>
    </xf>
    <xf numFmtId="1" fontId="23" fillId="2" borderId="0" xfId="2" applyNumberFormat="1" applyFont="1" applyFill="1" applyBorder="1" applyAlignment="1" applyProtection="1">
      <alignment horizontal="center" vertical="center" wrapText="1"/>
    </xf>
    <xf numFmtId="3" fontId="23" fillId="2" borderId="0" xfId="2" applyNumberFormat="1" applyFont="1" applyFill="1" applyBorder="1" applyAlignment="1" applyProtection="1">
      <alignment horizontal="center" vertical="center" wrapText="1"/>
    </xf>
    <xf numFmtId="169" fontId="0" fillId="0" borderId="0" xfId="2" applyNumberFormat="1" applyFont="1" applyFill="1" applyBorder="1"/>
    <xf numFmtId="0" fontId="3" fillId="2" borderId="0" xfId="0" applyFont="1" applyFill="1" applyAlignment="1" applyProtection="1">
      <alignment horizontal="center"/>
      <protection locked="0"/>
    </xf>
    <xf numFmtId="165" fontId="3" fillId="3" borderId="1" xfId="2" applyFont="1" applyFill="1" applyBorder="1" applyAlignment="1" applyProtection="1">
      <alignment vertical="center" wrapText="1"/>
    </xf>
    <xf numFmtId="170" fontId="3" fillId="3" borderId="1" xfId="2" applyNumberFormat="1" applyFont="1" applyFill="1" applyBorder="1" applyAlignment="1" applyProtection="1">
      <alignment vertical="center" wrapText="1"/>
    </xf>
    <xf numFmtId="165" fontId="24" fillId="10" borderId="9" xfId="2" applyNumberFormat="1" applyFont="1" applyFill="1" applyBorder="1" applyAlignment="1" applyProtection="1">
      <alignment vertical="center" wrapText="1"/>
    </xf>
    <xf numFmtId="165" fontId="2" fillId="3" borderId="1" xfId="2" applyFont="1" applyFill="1" applyBorder="1" applyAlignment="1" applyProtection="1">
      <alignment vertical="center" wrapText="1"/>
    </xf>
    <xf numFmtId="170" fontId="2" fillId="3" borderId="1" xfId="2" applyNumberFormat="1" applyFont="1" applyFill="1" applyBorder="1" applyAlignment="1" applyProtection="1">
      <alignment vertical="center" wrapText="1"/>
    </xf>
    <xf numFmtId="0" fontId="3" fillId="0" borderId="0" xfId="0" applyFont="1" applyAlignment="1" applyProtection="1">
      <alignment vertical="center"/>
      <protection locked="0"/>
    </xf>
    <xf numFmtId="0" fontId="2" fillId="2" borderId="0" xfId="0" applyFont="1" applyFill="1" applyBorder="1" applyAlignment="1" applyProtection="1">
      <alignment vertical="center" wrapText="1"/>
      <protection locked="0"/>
    </xf>
    <xf numFmtId="0" fontId="4" fillId="0" borderId="0" xfId="0" applyFont="1" applyAlignment="1" applyProtection="1">
      <alignment wrapText="1"/>
      <protection locked="0"/>
    </xf>
    <xf numFmtId="0" fontId="2" fillId="0" borderId="0" xfId="0" applyFont="1" applyBorder="1" applyAlignment="1" applyProtection="1">
      <alignment vertical="center"/>
      <protection locked="0"/>
    </xf>
    <xf numFmtId="0" fontId="2" fillId="0" borderId="13" xfId="0" applyFont="1" applyFill="1" applyBorder="1" applyAlignment="1" applyProtection="1">
      <alignment horizontal="left" vertical="center" wrapText="1"/>
      <protection locked="0"/>
    </xf>
    <xf numFmtId="0" fontId="2" fillId="0" borderId="13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 applyProtection="1">
      <alignment horizontal="left" vertical="center" wrapText="1"/>
      <protection locked="0"/>
    </xf>
    <xf numFmtId="0" fontId="23" fillId="0" borderId="0" xfId="0" applyFont="1" applyAlignment="1" applyProtection="1">
      <alignment horizontal="center" vertical="center"/>
      <protection locked="0"/>
    </xf>
    <xf numFmtId="0" fontId="23" fillId="0" borderId="0" xfId="0" applyFont="1" applyAlignment="1" applyProtection="1">
      <alignment horizontal="center" vertical="center" wrapText="1"/>
      <protection locked="0"/>
    </xf>
    <xf numFmtId="165" fontId="22" fillId="2" borderId="0" xfId="2" applyNumberFormat="1" applyFont="1" applyFill="1" applyBorder="1" applyAlignment="1" applyProtection="1">
      <alignment horizontal="left" vertical="center" wrapText="1"/>
    </xf>
    <xf numFmtId="0" fontId="4" fillId="2" borderId="0" xfId="0" applyFont="1" applyFill="1" applyProtection="1">
      <protection locked="0"/>
    </xf>
    <xf numFmtId="41" fontId="2" fillId="2" borderId="0" xfId="0" applyNumberFormat="1" applyFont="1" applyFill="1" applyBorder="1" applyAlignment="1" applyProtection="1">
      <alignment horizontal="center" vertical="center" wrapText="1"/>
      <protection locked="0"/>
    </xf>
    <xf numFmtId="165" fontId="2" fillId="2" borderId="1" xfId="2" applyNumberFormat="1" applyFont="1" applyFill="1" applyBorder="1" applyAlignment="1" applyProtection="1">
      <alignment horizontal="right" vertical="center" wrapText="1"/>
      <protection locked="0"/>
    </xf>
    <xf numFmtId="165" fontId="2" fillId="2" borderId="1" xfId="0" applyNumberFormat="1" applyFont="1" applyFill="1" applyBorder="1" applyAlignment="1" applyProtection="1">
      <alignment horizontal="right" vertical="center" wrapText="1"/>
      <protection locked="0"/>
    </xf>
    <xf numFmtId="168" fontId="2" fillId="2" borderId="0" xfId="2" applyNumberFormat="1" applyFont="1" applyFill="1" applyBorder="1" applyAlignment="1" applyProtection="1">
      <alignment horizontal="right" vertical="center" wrapText="1"/>
      <protection locked="0"/>
    </xf>
    <xf numFmtId="168" fontId="2" fillId="2" borderId="0" xfId="2" applyNumberFormat="1" applyFont="1" applyFill="1" applyBorder="1" applyAlignment="1" applyProtection="1">
      <alignment vertical="center" wrapText="1"/>
      <protection locked="0"/>
    </xf>
    <xf numFmtId="165" fontId="2" fillId="2" borderId="0" xfId="2" applyFont="1" applyFill="1" applyBorder="1" applyAlignment="1" applyProtection="1">
      <alignment horizontal="left" vertical="center" wrapText="1"/>
      <protection locked="0"/>
    </xf>
    <xf numFmtId="41" fontId="2" fillId="2" borderId="0" xfId="0" applyNumberFormat="1" applyFont="1" applyFill="1" applyBorder="1" applyAlignment="1" applyProtection="1">
      <alignment horizontal="left" vertical="center" wrapText="1"/>
      <protection locked="0"/>
    </xf>
    <xf numFmtId="0" fontId="2" fillId="2" borderId="0" xfId="0" applyFont="1" applyFill="1" applyBorder="1" applyAlignment="1" applyProtection="1">
      <alignment vertical="center" wrapText="1" readingOrder="1"/>
      <protection locked="0"/>
    </xf>
    <xf numFmtId="0" fontId="2" fillId="2" borderId="0" xfId="0" applyFont="1" applyFill="1" applyBorder="1" applyAlignment="1" applyProtection="1">
      <alignment horizontal="center" vertical="center" textRotation="90"/>
      <protection locked="0"/>
    </xf>
    <xf numFmtId="0" fontId="2" fillId="2" borderId="0" xfId="0" applyFont="1" applyFill="1" applyBorder="1" applyAlignment="1" applyProtection="1">
      <alignment horizontal="left" vertical="center" wrapText="1"/>
      <protection locked="0"/>
    </xf>
    <xf numFmtId="168" fontId="2" fillId="2" borderId="0" xfId="2" applyNumberFormat="1" applyFont="1" applyFill="1" applyBorder="1" applyAlignment="1" applyProtection="1">
      <alignment horizontal="left" vertical="center" wrapText="1"/>
      <protection locked="0"/>
    </xf>
    <xf numFmtId="0" fontId="2" fillId="2" borderId="0" xfId="0" applyFont="1" applyFill="1" applyBorder="1" applyAlignment="1" applyProtection="1">
      <alignment horizontal="center" vertical="center" wrapText="1" readingOrder="1"/>
      <protection locked="0"/>
    </xf>
    <xf numFmtId="0" fontId="4" fillId="2" borderId="0" xfId="0" applyFont="1" applyFill="1" applyBorder="1" applyProtection="1">
      <protection locked="0"/>
    </xf>
    <xf numFmtId="0" fontId="4" fillId="2" borderId="0" xfId="0" applyFont="1" applyFill="1" applyAlignment="1" applyProtection="1">
      <alignment wrapText="1"/>
      <protection locked="0"/>
    </xf>
    <xf numFmtId="0" fontId="3" fillId="2" borderId="0" xfId="0" applyFont="1" applyFill="1" applyAlignment="1" applyProtection="1">
      <protection locked="0"/>
    </xf>
    <xf numFmtId="41" fontId="2" fillId="2" borderId="0" xfId="0" applyNumberFormat="1" applyFont="1" applyFill="1" applyBorder="1" applyAlignment="1" applyProtection="1">
      <alignment horizontal="center" vertical="center" wrapText="1"/>
    </xf>
    <xf numFmtId="165" fontId="24" fillId="10" borderId="1" xfId="2" applyNumberFormat="1" applyFont="1" applyFill="1" applyBorder="1" applyAlignment="1" applyProtection="1">
      <alignment horizontal="left" vertical="center" wrapText="1"/>
    </xf>
    <xf numFmtId="170" fontId="24" fillId="10" borderId="1" xfId="2" applyNumberFormat="1" applyFont="1" applyFill="1" applyBorder="1" applyAlignment="1" applyProtection="1">
      <alignment horizontal="left" vertical="center" wrapText="1"/>
    </xf>
    <xf numFmtId="41" fontId="2" fillId="2" borderId="1" xfId="0" applyNumberFormat="1" applyFont="1" applyFill="1" applyBorder="1" applyAlignment="1" applyProtection="1">
      <alignment horizontal="center" vertical="center" wrapText="1"/>
    </xf>
    <xf numFmtId="41" fontId="2" fillId="11" borderId="1" xfId="0" applyNumberFormat="1" applyFont="1" applyFill="1" applyBorder="1" applyAlignment="1" applyProtection="1">
      <alignment horizontal="center" vertical="center" wrapText="1"/>
    </xf>
    <xf numFmtId="170" fontId="2" fillId="3" borderId="1" xfId="2" applyNumberFormat="1" applyFont="1" applyFill="1" applyBorder="1" applyAlignment="1" applyProtection="1">
      <alignment horizontal="right" vertical="center" wrapText="1"/>
    </xf>
    <xf numFmtId="167" fontId="2" fillId="3" borderId="1" xfId="2" applyNumberFormat="1" applyFont="1" applyFill="1" applyBorder="1" applyAlignment="1" applyProtection="1">
      <alignment horizontal="right" vertical="center" wrapText="1"/>
    </xf>
    <xf numFmtId="165" fontId="22" fillId="2" borderId="0" xfId="2" applyNumberFormat="1" applyFont="1" applyFill="1" applyBorder="1" applyAlignment="1" applyProtection="1">
      <alignment horizontal="right" vertical="center" wrapText="1"/>
    </xf>
    <xf numFmtId="165" fontId="22" fillId="2" borderId="0" xfId="0" applyNumberFormat="1" applyFont="1" applyFill="1" applyBorder="1" applyAlignment="1" applyProtection="1">
      <alignment horizontal="right" vertical="center" wrapText="1"/>
    </xf>
    <xf numFmtId="167" fontId="22" fillId="2" borderId="0" xfId="2" applyNumberFormat="1" applyFont="1" applyFill="1" applyBorder="1" applyAlignment="1" applyProtection="1">
      <alignment horizontal="right" vertical="center" wrapText="1"/>
    </xf>
    <xf numFmtId="165" fontId="2" fillId="3" borderId="1" xfId="2" applyNumberFormat="1" applyFont="1" applyFill="1" applyBorder="1" applyAlignment="1" applyProtection="1">
      <alignment horizontal="right" vertical="center" wrapText="1"/>
    </xf>
    <xf numFmtId="165" fontId="2" fillId="3" borderId="1" xfId="0" applyNumberFormat="1" applyFont="1" applyFill="1" applyBorder="1" applyAlignment="1" applyProtection="1">
      <alignment horizontal="right" vertical="center" wrapText="1"/>
    </xf>
    <xf numFmtId="167" fontId="2" fillId="3" borderId="1" xfId="1" applyNumberFormat="1" applyFont="1" applyFill="1" applyBorder="1" applyAlignment="1" applyProtection="1">
      <alignment horizontal="right" vertical="center" wrapText="1"/>
    </xf>
    <xf numFmtId="167" fontId="22" fillId="2" borderId="0" xfId="1" applyNumberFormat="1" applyFont="1" applyFill="1" applyBorder="1" applyAlignment="1" applyProtection="1">
      <alignment horizontal="right" vertical="center" wrapText="1"/>
    </xf>
    <xf numFmtId="41" fontId="22" fillId="12" borderId="1" xfId="0" applyNumberFormat="1" applyFont="1" applyFill="1" applyBorder="1" applyAlignment="1" applyProtection="1">
      <alignment vertical="center" wrapText="1"/>
    </xf>
    <xf numFmtId="166" fontId="22" fillId="12" borderId="1" xfId="0" applyNumberFormat="1" applyFont="1" applyFill="1" applyBorder="1" applyAlignment="1" applyProtection="1">
      <alignment vertical="center" wrapText="1"/>
    </xf>
    <xf numFmtId="0" fontId="23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vertical="center" wrapText="1"/>
      <protection locked="0"/>
    </xf>
    <xf numFmtId="0" fontId="4" fillId="0" borderId="0" xfId="0" applyFont="1" applyAlignment="1" applyProtection="1">
      <alignment vertical="center" wrapText="1"/>
      <protection locked="0"/>
    </xf>
    <xf numFmtId="0" fontId="22" fillId="2" borderId="0" xfId="0" applyFont="1" applyFill="1" applyBorder="1" applyAlignment="1" applyProtection="1">
      <alignment horizontal="left" wrapText="1"/>
      <protection locked="0"/>
    </xf>
    <xf numFmtId="0" fontId="24" fillId="10" borderId="1" xfId="0" applyFont="1" applyFill="1" applyBorder="1" applyAlignment="1" applyProtection="1">
      <alignment horizontal="center" vertical="center" wrapText="1"/>
    </xf>
    <xf numFmtId="0" fontId="2" fillId="0" borderId="19" xfId="0" applyFont="1" applyFill="1" applyBorder="1" applyAlignment="1" applyProtection="1">
      <alignment horizontal="center" vertical="center" wrapText="1"/>
    </xf>
    <xf numFmtId="0" fontId="2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24" fillId="10" borderId="18" xfId="0" applyFont="1" applyFill="1" applyBorder="1" applyAlignment="1" applyProtection="1">
      <alignment horizontal="center" vertical="center" wrapText="1"/>
      <protection locked="0"/>
    </xf>
    <xf numFmtId="0" fontId="23" fillId="0" borderId="29" xfId="0" applyFont="1" applyBorder="1" applyAlignment="1" applyProtection="1">
      <alignment horizontal="center" vertical="center" wrapText="1"/>
      <protection locked="0"/>
    </xf>
    <xf numFmtId="0" fontId="23" fillId="0" borderId="32" xfId="0" applyFont="1" applyBorder="1" applyAlignment="1" applyProtection="1">
      <alignment horizontal="center" vertical="center" wrapText="1"/>
      <protection locked="0"/>
    </xf>
    <xf numFmtId="0" fontId="24" fillId="10" borderId="4" xfId="0" applyFont="1" applyFill="1" applyBorder="1" applyAlignment="1" applyProtection="1">
      <alignment horizontal="center" vertical="center" wrapText="1"/>
    </xf>
    <xf numFmtId="41" fontId="24" fillId="10" borderId="1" xfId="0" applyNumberFormat="1" applyFont="1" applyFill="1" applyBorder="1" applyAlignment="1" applyProtection="1">
      <alignment horizontal="center" vertical="center" wrapText="1"/>
    </xf>
    <xf numFmtId="0" fontId="2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24" fillId="18" borderId="4" xfId="0" applyFont="1" applyFill="1" applyBorder="1" applyAlignment="1" applyProtection="1">
      <alignment horizontal="center" vertical="center" wrapText="1"/>
      <protection locked="0"/>
    </xf>
    <xf numFmtId="0" fontId="14" fillId="2" borderId="0" xfId="0" applyFont="1" applyFill="1" applyAlignment="1" applyProtection="1">
      <alignment vertical="center" wrapText="1"/>
      <protection locked="0"/>
    </xf>
    <xf numFmtId="0" fontId="14" fillId="0" borderId="0" xfId="0" applyFont="1" applyAlignment="1" applyProtection="1">
      <alignment vertical="center" wrapText="1"/>
      <protection locked="0"/>
    </xf>
    <xf numFmtId="0" fontId="43" fillId="10" borderId="51" xfId="0" applyFont="1" applyFill="1" applyBorder="1" applyProtection="1">
      <protection locked="0"/>
    </xf>
    <xf numFmtId="0" fontId="43" fillId="10" borderId="52" xfId="0" applyFont="1" applyFill="1" applyBorder="1" applyProtection="1">
      <protection locked="0"/>
    </xf>
    <xf numFmtId="0" fontId="43" fillId="10" borderId="53" xfId="0" applyFont="1" applyFill="1" applyBorder="1" applyProtection="1">
      <protection locked="0"/>
    </xf>
    <xf numFmtId="0" fontId="43" fillId="10" borderId="54" xfId="0" applyFont="1" applyFill="1" applyBorder="1" applyProtection="1">
      <protection locked="0"/>
    </xf>
    <xf numFmtId="0" fontId="3" fillId="20" borderId="1" xfId="0" applyFont="1" applyFill="1" applyBorder="1" applyAlignment="1" applyProtection="1">
      <alignment vertical="center" wrapText="1"/>
      <protection locked="0"/>
    </xf>
    <xf numFmtId="0" fontId="3" fillId="20" borderId="0" xfId="11" applyFont="1" applyFill="1" applyAlignment="1">
      <alignment horizontal="left" vertical="center"/>
    </xf>
    <xf numFmtId="41" fontId="2" fillId="21" borderId="1" xfId="11" applyNumberFormat="1" applyFont="1" applyFill="1" applyBorder="1" applyAlignment="1">
      <alignment horizontal="center" vertical="center" wrapText="1"/>
    </xf>
    <xf numFmtId="165" fontId="2" fillId="21" borderId="1" xfId="2" applyFont="1" applyFill="1" applyBorder="1" applyAlignment="1">
      <alignment horizontal="center" vertical="center" wrapText="1"/>
    </xf>
    <xf numFmtId="173" fontId="2" fillId="21" borderId="1" xfId="13" applyNumberFormat="1" applyFont="1" applyFill="1" applyBorder="1" applyAlignment="1">
      <alignment horizontal="right" vertical="center" wrapText="1"/>
    </xf>
    <xf numFmtId="0" fontId="24" fillId="10" borderId="11" xfId="0" applyFont="1" applyFill="1" applyBorder="1" applyAlignment="1" applyProtection="1">
      <alignment horizontal="center" vertical="center" wrapText="1"/>
    </xf>
    <xf numFmtId="165" fontId="24" fillId="10" borderId="1" xfId="2" applyNumberFormat="1" applyFont="1" applyFill="1" applyBorder="1" applyAlignment="1" applyProtection="1">
      <alignment horizontal="center" vertical="center" wrapText="1"/>
    </xf>
    <xf numFmtId="165" fontId="2" fillId="2" borderId="1" xfId="0" applyNumberFormat="1" applyFont="1" applyFill="1" applyBorder="1" applyAlignment="1" applyProtection="1">
      <alignment horizontal="right" vertical="center" wrapText="1"/>
    </xf>
    <xf numFmtId="165" fontId="2" fillId="20" borderId="1" xfId="0" applyNumberFormat="1" applyFont="1" applyFill="1" applyBorder="1" applyAlignment="1" applyProtection="1">
      <alignment horizontal="right" vertical="center" wrapText="1"/>
      <protection locked="0"/>
    </xf>
    <xf numFmtId="0" fontId="3" fillId="0" borderId="0" xfId="0" applyFont="1" applyBorder="1" applyAlignment="1" applyProtection="1">
      <alignment vertical="center" wrapText="1"/>
      <protection locked="0"/>
    </xf>
    <xf numFmtId="0" fontId="26" fillId="4" borderId="0" xfId="0" applyFont="1" applyFill="1" applyBorder="1" applyProtection="1"/>
    <xf numFmtId="0" fontId="43" fillId="4" borderId="0" xfId="0" applyFont="1" applyFill="1" applyBorder="1" applyProtection="1">
      <protection locked="0"/>
    </xf>
    <xf numFmtId="0" fontId="3" fillId="4" borderId="0" xfId="0" applyFont="1" applyFill="1" applyAlignment="1" applyProtection="1">
      <alignment vertical="center" wrapText="1"/>
      <protection locked="0"/>
    </xf>
    <xf numFmtId="0" fontId="26" fillId="10" borderId="58" xfId="0" applyFont="1" applyFill="1" applyBorder="1" applyProtection="1"/>
    <xf numFmtId="0" fontId="43" fillId="10" borderId="22" xfId="0" applyFont="1" applyFill="1" applyBorder="1" applyProtection="1">
      <protection locked="0"/>
    </xf>
    <xf numFmtId="0" fontId="43" fillId="10" borderId="23" xfId="0" applyFont="1" applyFill="1" applyBorder="1" applyProtection="1">
      <protection locked="0"/>
    </xf>
    <xf numFmtId="0" fontId="24" fillId="10" borderId="16" xfId="0" applyFont="1" applyFill="1" applyBorder="1" applyProtection="1"/>
    <xf numFmtId="0" fontId="24" fillId="10" borderId="50" xfId="0" applyFont="1" applyFill="1" applyBorder="1" applyProtection="1"/>
    <xf numFmtId="41" fontId="24" fillId="10" borderId="11" xfId="0" applyNumberFormat="1" applyFont="1" applyFill="1" applyBorder="1" applyAlignment="1" applyProtection="1">
      <alignment horizontal="center" vertical="center" wrapText="1"/>
    </xf>
    <xf numFmtId="165" fontId="2" fillId="2" borderId="1" xfId="2" applyNumberFormat="1" applyFont="1" applyFill="1" applyBorder="1" applyAlignment="1" applyProtection="1">
      <alignment horizontal="left" vertical="center" wrapText="1"/>
    </xf>
    <xf numFmtId="165" fontId="3" fillId="2" borderId="1" xfId="2" applyNumberFormat="1" applyFont="1" applyFill="1" applyBorder="1" applyAlignment="1" applyProtection="1">
      <alignment vertical="center" wrapText="1"/>
      <protection locked="0"/>
    </xf>
    <xf numFmtId="0" fontId="3" fillId="0" borderId="10" xfId="0" applyFont="1" applyFill="1" applyBorder="1" applyAlignment="1" applyProtection="1">
      <alignment horizontal="left" vertical="center" wrapText="1"/>
      <protection locked="0"/>
    </xf>
    <xf numFmtId="165" fontId="52" fillId="3" borderId="1" xfId="5" applyNumberFormat="1" applyFont="1" applyFill="1" applyBorder="1" applyAlignment="1" applyProtection="1">
      <alignment vertical="center" wrapText="1"/>
      <protection locked="0"/>
    </xf>
    <xf numFmtId="0" fontId="3" fillId="0" borderId="1" xfId="0" applyFont="1" applyBorder="1" applyAlignment="1" applyProtection="1">
      <alignment vertical="center" wrapText="1"/>
      <protection locked="0"/>
    </xf>
    <xf numFmtId="0" fontId="3" fillId="0" borderId="1" xfId="0" applyFont="1" applyFill="1" applyBorder="1" applyAlignment="1" applyProtection="1">
      <alignment horizontal="left" vertical="center" wrapText="1"/>
      <protection locked="0"/>
    </xf>
    <xf numFmtId="0" fontId="3" fillId="2" borderId="1" xfId="0" applyFont="1" applyFill="1" applyBorder="1" applyAlignment="1" applyProtection="1">
      <alignment vertical="center" wrapText="1"/>
      <protection locked="0"/>
    </xf>
    <xf numFmtId="0" fontId="3" fillId="23" borderId="1" xfId="0" applyFont="1" applyFill="1" applyBorder="1" applyAlignment="1" applyProtection="1">
      <alignment vertical="center" wrapText="1"/>
      <protection locked="0"/>
    </xf>
    <xf numFmtId="0" fontId="3" fillId="0" borderId="1" xfId="0" applyFont="1" applyBorder="1" applyAlignment="1" applyProtection="1">
      <alignment vertical="center" wrapText="1"/>
      <protection locked="0"/>
    </xf>
    <xf numFmtId="0" fontId="3" fillId="2" borderId="1" xfId="0" applyFont="1" applyFill="1" applyBorder="1" applyAlignment="1" applyProtection="1">
      <alignment vertical="center" wrapText="1"/>
      <protection locked="0"/>
    </xf>
    <xf numFmtId="169" fontId="52" fillId="3" borderId="1" xfId="5" applyNumberFormat="1" applyFont="1" applyFill="1" applyBorder="1" applyAlignment="1" applyProtection="1">
      <alignment vertical="center" wrapText="1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41" fontId="2" fillId="2" borderId="1" xfId="0" applyNumberFormat="1" applyFont="1" applyFill="1" applyBorder="1" applyAlignment="1">
      <alignment vertical="center" wrapText="1"/>
    </xf>
    <xf numFmtId="41" fontId="2" fillId="3" borderId="1" xfId="0" applyNumberFormat="1" applyFont="1" applyFill="1" applyBorder="1" applyAlignment="1">
      <alignment vertical="center" wrapText="1"/>
    </xf>
    <xf numFmtId="41" fontId="3" fillId="2" borderId="1" xfId="0" applyNumberFormat="1" applyFont="1" applyFill="1" applyBorder="1" applyAlignment="1" applyProtection="1">
      <alignment vertical="center" wrapText="1"/>
      <protection locked="0"/>
    </xf>
    <xf numFmtId="41" fontId="2" fillId="2" borderId="1" xfId="0" applyNumberFormat="1" applyFont="1" applyFill="1" applyBorder="1" applyAlignment="1">
      <alignment vertical="center" wrapText="1"/>
    </xf>
    <xf numFmtId="41" fontId="2" fillId="3" borderId="1" xfId="0" applyNumberFormat="1" applyFont="1" applyFill="1" applyBorder="1" applyAlignment="1" applyProtection="1">
      <alignment vertical="center" wrapText="1"/>
      <protection locked="0"/>
    </xf>
    <xf numFmtId="41" fontId="3" fillId="3" borderId="1" xfId="0" applyNumberFormat="1" applyFont="1" applyFill="1" applyBorder="1" applyAlignment="1" applyProtection="1">
      <alignment vertical="center" wrapText="1"/>
      <protection locked="0"/>
    </xf>
    <xf numFmtId="175" fontId="3" fillId="2" borderId="1" xfId="0" applyNumberFormat="1" applyFont="1" applyFill="1" applyBorder="1" applyAlignment="1" applyProtection="1">
      <alignment vertical="center" wrapText="1"/>
      <protection locked="0"/>
    </xf>
    <xf numFmtId="0" fontId="23" fillId="0" borderId="1" xfId="0" applyFont="1" applyFill="1" applyBorder="1" applyAlignment="1" applyProtection="1">
      <alignment horizontal="center" vertical="center" wrapText="1"/>
      <protection locked="0"/>
    </xf>
    <xf numFmtId="2" fontId="23" fillId="2" borderId="0" xfId="1" applyNumberFormat="1" applyFont="1" applyFill="1" applyBorder="1" applyAlignment="1" applyProtection="1">
      <alignment horizontal="center" vertical="center" wrapText="1"/>
    </xf>
    <xf numFmtId="167" fontId="23" fillId="2" borderId="0" xfId="1" applyNumberFormat="1" applyFont="1" applyFill="1" applyBorder="1" applyAlignment="1" applyProtection="1">
      <alignment horizontal="center" vertical="center" wrapText="1"/>
    </xf>
    <xf numFmtId="171" fontId="23" fillId="2" borderId="0" xfId="1" applyNumberFormat="1" applyFont="1" applyFill="1" applyBorder="1" applyAlignment="1" applyProtection="1">
      <alignment horizontal="center" vertical="center" wrapText="1"/>
    </xf>
    <xf numFmtId="0" fontId="23" fillId="0" borderId="1" xfId="0" applyFont="1" applyBorder="1" applyAlignment="1" applyProtection="1">
      <alignment horizontal="left" vertical="center" wrapText="1"/>
      <protection locked="0"/>
    </xf>
    <xf numFmtId="0" fontId="23" fillId="0" borderId="1" xfId="0" applyFont="1" applyBorder="1" applyAlignment="1" applyProtection="1">
      <alignment horizontal="center" wrapText="1"/>
      <protection locked="0"/>
    </xf>
    <xf numFmtId="0" fontId="23" fillId="0" borderId="30" xfId="0" applyFont="1" applyBorder="1" applyAlignment="1" applyProtection="1">
      <alignment horizontal="center" vertical="center" wrapText="1"/>
      <protection locked="0"/>
    </xf>
    <xf numFmtId="2" fontId="3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23" fillId="0" borderId="1" xfId="0" applyFont="1" applyBorder="1" applyAlignment="1" applyProtection="1">
      <alignment horizontal="center" vertical="top" wrapText="1"/>
      <protection locked="0"/>
    </xf>
    <xf numFmtId="0" fontId="23" fillId="0" borderId="1" xfId="0" applyFont="1" applyBorder="1" applyAlignment="1" applyProtection="1">
      <alignment horizontal="center" vertical="center" wrapText="1"/>
      <protection locked="0"/>
    </xf>
    <xf numFmtId="167" fontId="3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24" fillId="10" borderId="24" xfId="0" applyFont="1" applyFill="1" applyBorder="1" applyAlignment="1" applyProtection="1">
      <alignment horizontal="left" vertical="center" wrapText="1"/>
      <protection locked="0"/>
    </xf>
    <xf numFmtId="0" fontId="24" fillId="10" borderId="25" xfId="0" applyFont="1" applyFill="1" applyBorder="1" applyAlignment="1" applyProtection="1">
      <alignment horizontal="left" vertical="center" wrapText="1"/>
      <protection locked="0"/>
    </xf>
    <xf numFmtId="0" fontId="24" fillId="10" borderId="33" xfId="0" applyFont="1" applyFill="1" applyBorder="1" applyAlignment="1" applyProtection="1">
      <alignment horizontal="left" vertical="center" wrapText="1"/>
      <protection locked="0"/>
    </xf>
    <xf numFmtId="0" fontId="24" fillId="10" borderId="26" xfId="0" applyFont="1" applyFill="1" applyBorder="1" applyAlignment="1" applyProtection="1">
      <alignment horizontal="left" vertical="center" wrapText="1"/>
      <protection locked="0"/>
    </xf>
    <xf numFmtId="0" fontId="24" fillId="10" borderId="18" xfId="0" applyFont="1" applyFill="1" applyBorder="1" applyAlignment="1" applyProtection="1">
      <alignment horizontal="center" vertical="center" wrapText="1"/>
      <protection locked="0"/>
    </xf>
    <xf numFmtId="0" fontId="24" fillId="10" borderId="20" xfId="0" applyFont="1" applyFill="1" applyBorder="1" applyAlignment="1" applyProtection="1">
      <alignment horizontal="center" vertical="center" wrapText="1"/>
      <protection locked="0"/>
    </xf>
    <xf numFmtId="0" fontId="23" fillId="0" borderId="27" xfId="0" applyFont="1" applyBorder="1" applyAlignment="1" applyProtection="1">
      <alignment horizontal="left" vertical="center" wrapText="1"/>
      <protection locked="0"/>
    </xf>
    <xf numFmtId="0" fontId="23" fillId="0" borderId="31" xfId="0" applyFont="1" applyBorder="1" applyAlignment="1" applyProtection="1">
      <alignment horizontal="left" vertical="center" wrapText="1"/>
      <protection locked="0"/>
    </xf>
    <xf numFmtId="0" fontId="23" fillId="0" borderId="29" xfId="0" applyFont="1" applyBorder="1" applyAlignment="1" applyProtection="1">
      <alignment horizontal="center" vertical="center" wrapText="1"/>
      <protection locked="0"/>
    </xf>
    <xf numFmtId="0" fontId="23" fillId="0" borderId="32" xfId="0" applyFont="1" applyBorder="1" applyAlignment="1" applyProtection="1">
      <alignment horizontal="center" vertical="center" wrapText="1"/>
      <protection locked="0"/>
    </xf>
    <xf numFmtId="10" fontId="3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24" fillId="10" borderId="1" xfId="0" applyFont="1" applyFill="1" applyBorder="1" applyAlignment="1" applyProtection="1">
      <alignment horizontal="left" vertical="center" wrapText="1"/>
      <protection locked="0"/>
    </xf>
    <xf numFmtId="0" fontId="24" fillId="10" borderId="1" xfId="0" applyFont="1" applyFill="1" applyBorder="1" applyAlignment="1" applyProtection="1">
      <alignment horizontal="center" vertical="center" wrapText="1"/>
      <protection locked="0"/>
    </xf>
    <xf numFmtId="10" fontId="23" fillId="0" borderId="30" xfId="0" applyNumberFormat="1" applyFont="1" applyBorder="1" applyAlignment="1" applyProtection="1">
      <alignment horizontal="center" vertical="center" wrapText="1"/>
      <protection locked="0"/>
    </xf>
    <xf numFmtId="167" fontId="23" fillId="0" borderId="1" xfId="1" applyNumberFormat="1" applyFont="1" applyBorder="1" applyAlignment="1" applyProtection="1">
      <alignment horizontal="center" vertical="center" wrapText="1"/>
      <protection locked="0"/>
    </xf>
    <xf numFmtId="167" fontId="3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23" fillId="2" borderId="1" xfId="0" applyFont="1" applyFill="1" applyBorder="1" applyAlignment="1" applyProtection="1">
      <alignment horizontal="left" vertical="center" wrapText="1"/>
      <protection locked="0"/>
    </xf>
    <xf numFmtId="0" fontId="23" fillId="2" borderId="1" xfId="0" applyFont="1" applyFill="1" applyBorder="1" applyAlignment="1" applyProtection="1">
      <alignment horizontal="center" wrapText="1"/>
      <protection locked="0"/>
    </xf>
    <xf numFmtId="0" fontId="23" fillId="2" borderId="1" xfId="0" applyFont="1" applyFill="1" applyBorder="1" applyAlignment="1" applyProtection="1">
      <alignment horizontal="center" vertical="top" wrapText="1"/>
      <protection locked="0"/>
    </xf>
    <xf numFmtId="0" fontId="23" fillId="2" borderId="1" xfId="0" applyFont="1" applyFill="1" applyBorder="1" applyAlignment="1" applyProtection="1">
      <alignment horizontal="center" vertical="center" wrapText="1"/>
      <protection locked="0"/>
    </xf>
    <xf numFmtId="0" fontId="23" fillId="0" borderId="59" xfId="0" applyFont="1" applyBorder="1" applyAlignment="1" applyProtection="1">
      <alignment horizontal="center" vertical="center" wrapText="1"/>
      <protection locked="0"/>
    </xf>
    <xf numFmtId="0" fontId="23" fillId="0" borderId="60" xfId="0" applyFont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23" fillId="5" borderId="1" xfId="3" applyFont="1" applyFill="1" applyBorder="1" applyAlignment="1" applyProtection="1">
      <alignment horizontal="left" vertical="center" wrapText="1"/>
      <protection locked="0"/>
    </xf>
    <xf numFmtId="9" fontId="23" fillId="0" borderId="30" xfId="0" applyNumberFormat="1" applyFont="1" applyBorder="1" applyAlignment="1" applyProtection="1">
      <alignment horizontal="center" vertical="center" wrapText="1"/>
      <protection locked="0"/>
    </xf>
    <xf numFmtId="2" fontId="23" fillId="2" borderId="30" xfId="0" applyNumberFormat="1" applyFont="1" applyFill="1" applyBorder="1" applyAlignment="1" applyProtection="1">
      <alignment horizontal="center" vertical="center" wrapText="1"/>
      <protection locked="0"/>
    </xf>
    <xf numFmtId="0" fontId="23" fillId="2" borderId="1" xfId="3" applyFont="1" applyFill="1" applyBorder="1" applyAlignment="1" applyProtection="1">
      <alignment horizontal="left" vertical="center" wrapText="1"/>
      <protection locked="0"/>
    </xf>
    <xf numFmtId="174" fontId="23" fillId="2" borderId="30" xfId="0" applyNumberFormat="1" applyFont="1" applyFill="1" applyBorder="1" applyAlignment="1" applyProtection="1">
      <alignment horizontal="center" vertical="center" wrapText="1"/>
      <protection locked="0"/>
    </xf>
    <xf numFmtId="41" fontId="23" fillId="0" borderId="30" xfId="0" applyNumberFormat="1" applyFont="1" applyBorder="1" applyAlignment="1" applyProtection="1">
      <alignment horizontal="center" vertical="center" wrapText="1"/>
      <protection locked="0"/>
    </xf>
    <xf numFmtId="10" fontId="23" fillId="0" borderId="30" xfId="0" applyNumberFormat="1" applyFont="1" applyFill="1" applyBorder="1" applyAlignment="1" applyProtection="1">
      <alignment horizontal="center" vertical="center" wrapText="1"/>
      <protection locked="0"/>
    </xf>
    <xf numFmtId="2" fontId="23" fillId="0" borderId="30" xfId="0" applyNumberFormat="1" applyFont="1" applyFill="1" applyBorder="1" applyAlignment="1" applyProtection="1">
      <alignment horizontal="center" vertical="center" wrapText="1"/>
      <protection locked="0"/>
    </xf>
    <xf numFmtId="0" fontId="23" fillId="0" borderId="30" xfId="0" applyFont="1" applyFill="1" applyBorder="1" applyAlignment="1" applyProtection="1">
      <alignment horizontal="center" vertical="center" wrapText="1"/>
      <protection locked="0"/>
    </xf>
    <xf numFmtId="0" fontId="23" fillId="2" borderId="1" xfId="0" applyFont="1" applyFill="1" applyBorder="1" applyAlignment="1" applyProtection="1">
      <alignment horizontal="center" vertical="center"/>
      <protection locked="0"/>
    </xf>
    <xf numFmtId="0" fontId="24" fillId="10" borderId="1" xfId="0" applyFont="1" applyFill="1" applyBorder="1" applyAlignment="1" applyProtection="1">
      <alignment horizontal="left" vertical="center"/>
      <protection locked="0"/>
    </xf>
    <xf numFmtId="0" fontId="44" fillId="19" borderId="5" xfId="0" applyFont="1" applyFill="1" applyBorder="1" applyAlignment="1" applyProtection="1">
      <alignment horizontal="center" vertical="center" wrapText="1"/>
    </xf>
    <xf numFmtId="0" fontId="44" fillId="19" borderId="0" xfId="0" applyFont="1" applyFill="1" applyBorder="1" applyAlignment="1" applyProtection="1">
      <alignment horizontal="center" vertical="center" wrapText="1"/>
    </xf>
    <xf numFmtId="0" fontId="44" fillId="19" borderId="6" xfId="0" applyFont="1" applyFill="1" applyBorder="1" applyAlignment="1" applyProtection="1">
      <alignment horizontal="center" vertical="center" wrapText="1"/>
    </xf>
    <xf numFmtId="0" fontId="44" fillId="19" borderId="7" xfId="0" applyFont="1" applyFill="1" applyBorder="1" applyAlignment="1" applyProtection="1">
      <alignment horizontal="center" vertical="center" wrapText="1"/>
    </xf>
    <xf numFmtId="0" fontId="44" fillId="19" borderId="49" xfId="0" applyFont="1" applyFill="1" applyBorder="1" applyAlignment="1" applyProtection="1">
      <alignment horizontal="center" vertical="center" wrapText="1"/>
    </xf>
    <xf numFmtId="0" fontId="44" fillId="19" borderId="55" xfId="0" applyFont="1" applyFill="1" applyBorder="1" applyAlignment="1" applyProtection="1">
      <alignment horizontal="center" vertical="center" wrapText="1"/>
    </xf>
    <xf numFmtId="2" fontId="23" fillId="0" borderId="30" xfId="0" applyNumberFormat="1" applyFont="1" applyBorder="1" applyAlignment="1" applyProtection="1">
      <alignment horizontal="center" vertical="center" wrapText="1"/>
      <protection locked="0"/>
    </xf>
    <xf numFmtId="167" fontId="23" fillId="0" borderId="0" xfId="1" applyNumberFormat="1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3" fillId="4" borderId="11" xfId="0" applyFont="1" applyFill="1" applyBorder="1" applyAlignment="1" applyProtection="1">
      <alignment horizontal="left" vertical="center" wrapText="1"/>
      <protection locked="0"/>
    </xf>
    <xf numFmtId="0" fontId="3" fillId="4" borderId="8" xfId="0" applyFont="1" applyFill="1" applyBorder="1" applyAlignment="1" applyProtection="1">
      <alignment horizontal="left" vertical="center" wrapText="1"/>
      <protection locked="0"/>
    </xf>
    <xf numFmtId="0" fontId="24" fillId="10" borderId="2" xfId="0" applyFont="1" applyFill="1" applyBorder="1" applyAlignment="1" applyProtection="1">
      <alignment horizontal="left" vertical="center" wrapText="1"/>
      <protection locked="0"/>
    </xf>
    <xf numFmtId="0" fontId="24" fillId="10" borderId="48" xfId="0" applyFont="1" applyFill="1" applyBorder="1" applyAlignment="1" applyProtection="1">
      <alignment horizontal="left" vertical="center" wrapText="1"/>
      <protection locked="0"/>
    </xf>
    <xf numFmtId="0" fontId="24" fillId="10" borderId="56" xfId="0" applyFont="1" applyFill="1" applyBorder="1" applyAlignment="1" applyProtection="1">
      <alignment horizontal="center" vertical="center" wrapText="1"/>
    </xf>
    <xf numFmtId="0" fontId="24" fillId="10" borderId="4" xfId="0" applyFont="1" applyFill="1" applyBorder="1" applyAlignment="1" applyProtection="1">
      <alignment horizontal="center" vertical="center" wrapText="1"/>
    </xf>
    <xf numFmtId="0" fontId="27" fillId="0" borderId="34" xfId="0" applyFont="1" applyBorder="1" applyAlignment="1" applyProtection="1">
      <alignment horizontal="center" vertical="center"/>
    </xf>
    <xf numFmtId="0" fontId="24" fillId="10" borderId="21" xfId="0" applyFont="1" applyFill="1" applyBorder="1" applyAlignment="1" applyProtection="1">
      <alignment horizontal="right" vertical="center" wrapText="1"/>
    </xf>
    <xf numFmtId="0" fontId="24" fillId="10" borderId="22" xfId="0" applyFont="1" applyFill="1" applyBorder="1" applyAlignment="1" applyProtection="1">
      <alignment horizontal="right" vertical="center" wrapText="1"/>
    </xf>
    <xf numFmtId="0" fontId="24" fillId="10" borderId="23" xfId="0" applyFont="1" applyFill="1" applyBorder="1" applyAlignment="1" applyProtection="1">
      <alignment horizontal="right" vertical="center" wrapText="1"/>
    </xf>
    <xf numFmtId="0" fontId="24" fillId="10" borderId="15" xfId="0" applyFont="1" applyFill="1" applyBorder="1" applyAlignment="1" applyProtection="1">
      <alignment horizontal="center" vertical="center" wrapText="1"/>
    </xf>
    <xf numFmtId="0" fontId="24" fillId="10" borderId="10" xfId="0" applyFont="1" applyFill="1" applyBorder="1" applyAlignment="1" applyProtection="1">
      <alignment horizontal="center" vertical="center" wrapText="1"/>
    </xf>
    <xf numFmtId="0" fontId="24" fillId="10" borderId="1" xfId="0" applyFont="1" applyFill="1" applyBorder="1" applyAlignment="1" applyProtection="1">
      <alignment horizontal="center" vertical="center" wrapText="1"/>
    </xf>
    <xf numFmtId="0" fontId="24" fillId="10" borderId="11" xfId="0" applyFont="1" applyFill="1" applyBorder="1" applyAlignment="1" applyProtection="1">
      <alignment horizontal="center" vertical="center" wrapText="1"/>
    </xf>
    <xf numFmtId="0" fontId="24" fillId="10" borderId="8" xfId="0" applyFont="1" applyFill="1" applyBorder="1" applyAlignment="1" applyProtection="1">
      <alignment horizontal="center" vertical="center" wrapText="1"/>
    </xf>
    <xf numFmtId="0" fontId="24" fillId="10" borderId="3" xfId="0" applyFont="1" applyFill="1" applyBorder="1" applyAlignment="1" applyProtection="1">
      <alignment horizontal="center" vertical="center" wrapText="1"/>
    </xf>
    <xf numFmtId="0" fontId="24" fillId="10" borderId="17" xfId="0" applyFont="1" applyFill="1" applyBorder="1" applyAlignment="1" applyProtection="1">
      <alignment horizontal="left" vertical="center" wrapText="1"/>
      <protection locked="0"/>
    </xf>
    <xf numFmtId="0" fontId="24" fillId="10" borderId="0" xfId="0" applyFont="1" applyFill="1" applyBorder="1" applyAlignment="1" applyProtection="1">
      <alignment horizontal="left" vertical="center" wrapText="1"/>
      <protection locked="0"/>
    </xf>
    <xf numFmtId="0" fontId="44" fillId="19" borderId="17" xfId="0" applyFont="1" applyFill="1" applyBorder="1" applyAlignment="1" applyProtection="1">
      <alignment horizontal="center" vertical="center" wrapText="1"/>
    </xf>
    <xf numFmtId="0" fontId="44" fillId="19" borderId="57" xfId="0" applyFont="1" applyFill="1" applyBorder="1" applyAlignment="1" applyProtection="1">
      <alignment horizontal="center" vertical="center" wrapText="1"/>
    </xf>
    <xf numFmtId="0" fontId="44" fillId="19" borderId="18" xfId="0" applyFont="1" applyFill="1" applyBorder="1" applyAlignment="1" applyProtection="1">
      <alignment horizontal="center" vertical="center" wrapText="1"/>
    </xf>
    <xf numFmtId="0" fontId="44" fillId="19" borderId="19" xfId="0" applyFont="1" applyFill="1" applyBorder="1" applyAlignment="1" applyProtection="1">
      <alignment horizontal="center" vertical="center" wrapText="1"/>
    </xf>
    <xf numFmtId="0" fontId="44" fillId="19" borderId="20" xfId="0" applyFont="1" applyFill="1" applyBorder="1" applyAlignment="1" applyProtection="1">
      <alignment horizontal="center" vertical="center" wrapText="1"/>
    </xf>
    <xf numFmtId="0" fontId="44" fillId="4" borderId="0" xfId="0" applyFont="1" applyFill="1" applyBorder="1" applyAlignment="1" applyProtection="1">
      <alignment horizontal="center" vertical="center" wrapText="1"/>
    </xf>
    <xf numFmtId="0" fontId="24" fillId="10" borderId="1" xfId="0" applyFont="1" applyFill="1" applyBorder="1" applyAlignment="1" applyProtection="1">
      <alignment horizontal="left" vertical="center" wrapText="1"/>
    </xf>
    <xf numFmtId="0" fontId="3" fillId="4" borderId="1" xfId="0" applyFont="1" applyFill="1" applyBorder="1" applyAlignment="1" applyProtection="1">
      <alignment horizontal="left" vertical="center" wrapText="1"/>
      <protection locked="0"/>
    </xf>
    <xf numFmtId="0" fontId="24" fillId="10" borderId="1" xfId="0" applyFont="1" applyFill="1" applyBorder="1" applyAlignment="1" applyProtection="1">
      <alignment horizontal="center" vertical="center" textRotation="90"/>
    </xf>
    <xf numFmtId="0" fontId="2" fillId="6" borderId="1" xfId="0" applyFont="1" applyFill="1" applyBorder="1" applyAlignment="1" applyProtection="1">
      <alignment horizontal="center" vertical="center" wrapText="1"/>
    </xf>
    <xf numFmtId="0" fontId="2" fillId="11" borderId="2" xfId="0" applyFont="1" applyFill="1" applyBorder="1" applyAlignment="1" applyProtection="1">
      <alignment horizontal="center" vertical="center" wrapText="1"/>
    </xf>
    <xf numFmtId="0" fontId="2" fillId="11" borderId="4" xfId="0" applyFont="1" applyFill="1" applyBorder="1" applyAlignment="1" applyProtection="1">
      <alignment horizontal="center" vertical="center" wrapText="1"/>
    </xf>
    <xf numFmtId="41" fontId="24" fillId="10" borderId="1" xfId="0" applyNumberFormat="1" applyFont="1" applyFill="1" applyBorder="1" applyAlignment="1" applyProtection="1">
      <alignment horizontal="center" vertical="center" wrapText="1"/>
    </xf>
    <xf numFmtId="0" fontId="2" fillId="11" borderId="1" xfId="0" applyFont="1" applyFill="1" applyBorder="1" applyAlignment="1" applyProtection="1">
      <alignment horizontal="center" vertical="center" wrapText="1"/>
    </xf>
    <xf numFmtId="0" fontId="2" fillId="11" borderId="50" xfId="0" applyFont="1" applyFill="1" applyBorder="1" applyAlignment="1" applyProtection="1">
      <alignment horizontal="center" vertical="center" wrapText="1"/>
      <protection locked="0"/>
    </xf>
    <xf numFmtId="0" fontId="2" fillId="11" borderId="51" xfId="0" applyFont="1" applyFill="1" applyBorder="1" applyAlignment="1" applyProtection="1">
      <alignment horizontal="center" vertical="center" wrapText="1"/>
      <protection locked="0"/>
    </xf>
    <xf numFmtId="0" fontId="2" fillId="11" borderId="52" xfId="0" applyFont="1" applyFill="1" applyBorder="1" applyAlignment="1" applyProtection="1">
      <alignment horizontal="center" vertical="center" wrapText="1"/>
      <protection locked="0"/>
    </xf>
    <xf numFmtId="0" fontId="2" fillId="11" borderId="5" xfId="0" applyFont="1" applyFill="1" applyBorder="1" applyAlignment="1" applyProtection="1">
      <alignment horizontal="center" vertical="center" wrapText="1"/>
      <protection locked="0"/>
    </xf>
    <xf numFmtId="0" fontId="2" fillId="11" borderId="0" xfId="0" applyFont="1" applyFill="1" applyBorder="1" applyAlignment="1" applyProtection="1">
      <alignment horizontal="center" vertical="center" wrapText="1"/>
      <protection locked="0"/>
    </xf>
    <xf numFmtId="0" fontId="2" fillId="11" borderId="6" xfId="0" applyFont="1" applyFill="1" applyBorder="1" applyAlignment="1" applyProtection="1">
      <alignment horizontal="center" vertical="center" wrapText="1"/>
      <protection locked="0"/>
    </xf>
    <xf numFmtId="0" fontId="2" fillId="11" borderId="7" xfId="0" applyFont="1" applyFill="1" applyBorder="1" applyAlignment="1" applyProtection="1">
      <alignment horizontal="center" vertical="center" wrapText="1"/>
      <protection locked="0"/>
    </xf>
    <xf numFmtId="0" fontId="2" fillId="11" borderId="49" xfId="0" applyFont="1" applyFill="1" applyBorder="1" applyAlignment="1" applyProtection="1">
      <alignment horizontal="center" vertical="center" wrapText="1"/>
      <protection locked="0"/>
    </xf>
    <xf numFmtId="0" fontId="2" fillId="11" borderId="55" xfId="0" applyFont="1" applyFill="1" applyBorder="1" applyAlignment="1" applyProtection="1">
      <alignment horizontal="center" vertical="center" wrapText="1"/>
      <protection locked="0"/>
    </xf>
    <xf numFmtId="0" fontId="3" fillId="19" borderId="12" xfId="0" applyFont="1" applyFill="1" applyBorder="1" applyAlignment="1" applyProtection="1">
      <alignment horizontal="center" vertical="center" wrapText="1"/>
    </xf>
    <xf numFmtId="0" fontId="3" fillId="19" borderId="13" xfId="0" applyFont="1" applyFill="1" applyBorder="1" applyAlignment="1" applyProtection="1">
      <alignment horizontal="center" vertical="center" wrapText="1"/>
    </xf>
    <xf numFmtId="0" fontId="3" fillId="19" borderId="14" xfId="0" applyFont="1" applyFill="1" applyBorder="1" applyAlignment="1" applyProtection="1">
      <alignment horizontal="center" vertical="center" wrapText="1"/>
    </xf>
    <xf numFmtId="0" fontId="3" fillId="19" borderId="18" xfId="0" applyFont="1" applyFill="1" applyBorder="1" applyAlignment="1" applyProtection="1">
      <alignment horizontal="center" vertical="center" wrapText="1"/>
    </xf>
    <xf numFmtId="0" fontId="3" fillId="19" borderId="19" xfId="0" applyFont="1" applyFill="1" applyBorder="1" applyAlignment="1" applyProtection="1">
      <alignment horizontal="center" vertical="center" wrapText="1"/>
    </xf>
    <xf numFmtId="0" fontId="3" fillId="19" borderId="20" xfId="0" applyFont="1" applyFill="1" applyBorder="1" applyAlignment="1" applyProtection="1">
      <alignment horizontal="center" vertical="center" wrapText="1"/>
    </xf>
    <xf numFmtId="0" fontId="24" fillId="10" borderId="3" xfId="0" applyFont="1" applyFill="1" applyBorder="1" applyAlignment="1" applyProtection="1">
      <alignment horizontal="center" vertical="center" textRotation="90"/>
    </xf>
    <xf numFmtId="0" fontId="22" fillId="2" borderId="1" xfId="0" applyFont="1" applyFill="1" applyBorder="1" applyAlignment="1" applyProtection="1">
      <alignment horizontal="left" vertical="center"/>
    </xf>
    <xf numFmtId="41" fontId="2" fillId="2" borderId="1" xfId="0" applyNumberFormat="1" applyFont="1" applyFill="1" applyBorder="1" applyAlignment="1" applyProtection="1">
      <alignment horizontal="left" vertical="center" wrapText="1"/>
    </xf>
    <xf numFmtId="41" fontId="24" fillId="10" borderId="1" xfId="0" applyNumberFormat="1" applyFont="1" applyFill="1" applyBorder="1" applyAlignment="1" applyProtection="1">
      <alignment horizontal="left" vertical="center" wrapText="1"/>
    </xf>
    <xf numFmtId="0" fontId="2" fillId="2" borderId="0" xfId="0" applyFont="1" applyFill="1" applyBorder="1" applyAlignment="1" applyProtection="1">
      <alignment horizontal="center" vertical="center" wrapText="1"/>
      <protection locked="0"/>
    </xf>
    <xf numFmtId="0" fontId="24" fillId="10" borderId="11" xfId="0" applyFont="1" applyFill="1" applyBorder="1" applyAlignment="1" applyProtection="1">
      <alignment horizontal="left" vertical="center" wrapText="1"/>
      <protection locked="0"/>
    </xf>
    <xf numFmtId="0" fontId="24" fillId="10" borderId="8" xfId="0" applyFont="1" applyFill="1" applyBorder="1" applyAlignment="1" applyProtection="1">
      <alignment horizontal="left" vertical="center" wrapText="1"/>
      <protection locked="0"/>
    </xf>
    <xf numFmtId="0" fontId="24" fillId="10" borderId="3" xfId="0" applyFont="1" applyFill="1" applyBorder="1" applyAlignment="1" applyProtection="1">
      <alignment horizontal="left" vertical="center" wrapText="1"/>
      <protection locked="0"/>
    </xf>
    <xf numFmtId="0" fontId="3" fillId="2" borderId="11" xfId="0" applyFont="1" applyFill="1" applyBorder="1" applyAlignment="1" applyProtection="1">
      <alignment horizontal="left" vertical="center" wrapText="1"/>
      <protection locked="0"/>
    </xf>
    <xf numFmtId="0" fontId="3" fillId="2" borderId="8" xfId="0" applyFont="1" applyFill="1" applyBorder="1" applyAlignment="1" applyProtection="1">
      <alignment horizontal="left" vertical="center" wrapText="1"/>
      <protection locked="0"/>
    </xf>
    <xf numFmtId="0" fontId="3" fillId="2" borderId="3" xfId="0" applyFont="1" applyFill="1" applyBorder="1" applyAlignment="1" applyProtection="1">
      <alignment horizontal="left" vertical="center" wrapText="1"/>
      <protection locked="0"/>
    </xf>
    <xf numFmtId="0" fontId="28" fillId="2" borderId="13" xfId="0" applyFont="1" applyFill="1" applyBorder="1" applyAlignment="1" applyProtection="1">
      <alignment horizontal="left" vertical="center"/>
      <protection locked="0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0" fontId="3" fillId="2" borderId="1" xfId="0" applyFont="1" applyFill="1" applyBorder="1" applyAlignment="1" applyProtection="1">
      <alignment horizontal="left" vertical="center" wrapText="1"/>
      <protection locked="0"/>
    </xf>
    <xf numFmtId="0" fontId="2" fillId="3" borderId="1" xfId="0" applyFont="1" applyFill="1" applyBorder="1" applyAlignment="1" applyProtection="1">
      <alignment horizontal="left" vertical="center" wrapText="1"/>
    </xf>
    <xf numFmtId="0" fontId="22" fillId="3" borderId="1" xfId="0" applyFont="1" applyFill="1" applyBorder="1" applyAlignment="1" applyProtection="1">
      <alignment horizontal="left" vertical="center" wrapText="1"/>
    </xf>
    <xf numFmtId="41" fontId="24" fillId="10" borderId="48" xfId="0" applyNumberFormat="1" applyFont="1" applyFill="1" applyBorder="1" applyAlignment="1" applyProtection="1">
      <alignment horizontal="center" vertical="center" wrapText="1"/>
    </xf>
    <xf numFmtId="41" fontId="24" fillId="10" borderId="4" xfId="0" applyNumberFormat="1" applyFont="1" applyFill="1" applyBorder="1" applyAlignment="1" applyProtection="1">
      <alignment horizontal="center" vertical="center" wrapText="1"/>
    </xf>
    <xf numFmtId="0" fontId="24" fillId="10" borderId="11" xfId="0" applyFont="1" applyFill="1" applyBorder="1" applyAlignment="1" applyProtection="1">
      <alignment horizontal="left" vertical="center"/>
      <protection locked="0"/>
    </xf>
    <xf numFmtId="0" fontId="24" fillId="10" borderId="8" xfId="0" applyFont="1" applyFill="1" applyBorder="1" applyAlignment="1" applyProtection="1">
      <alignment horizontal="left" vertical="center"/>
      <protection locked="0"/>
    </xf>
    <xf numFmtId="0" fontId="24" fillId="10" borderId="3" xfId="0" applyFont="1" applyFill="1" applyBorder="1" applyAlignment="1" applyProtection="1">
      <alignment horizontal="left" vertical="center"/>
      <protection locked="0"/>
    </xf>
    <xf numFmtId="0" fontId="24" fillId="10" borderId="12" xfId="0" applyFont="1" applyFill="1" applyBorder="1" applyAlignment="1" applyProtection="1">
      <alignment horizontal="center" vertical="center" wrapText="1"/>
    </xf>
    <xf numFmtId="0" fontId="24" fillId="10" borderId="14" xfId="0" applyFont="1" applyFill="1" applyBorder="1" applyAlignment="1" applyProtection="1">
      <alignment horizontal="center" vertical="center" wrapText="1"/>
    </xf>
    <xf numFmtId="0" fontId="24" fillId="10" borderId="18" xfId="0" applyFont="1" applyFill="1" applyBorder="1" applyAlignment="1" applyProtection="1">
      <alignment horizontal="center" vertical="center" wrapText="1"/>
    </xf>
    <xf numFmtId="0" fontId="24" fillId="10" borderId="20" xfId="0" applyFont="1" applyFill="1" applyBorder="1" applyAlignment="1" applyProtection="1">
      <alignment horizontal="center" vertical="center" wrapText="1"/>
    </xf>
    <xf numFmtId="166" fontId="24" fillId="10" borderId="1" xfId="0" applyNumberFormat="1" applyFont="1" applyFill="1" applyBorder="1" applyAlignment="1" applyProtection="1">
      <alignment horizontal="center" vertical="center" wrapText="1"/>
    </xf>
    <xf numFmtId="0" fontId="44" fillId="19" borderId="12" xfId="0" applyFont="1" applyFill="1" applyBorder="1" applyAlignment="1" applyProtection="1">
      <alignment horizontal="center" vertical="center" wrapText="1"/>
    </xf>
    <xf numFmtId="0" fontId="44" fillId="19" borderId="13" xfId="0" applyFont="1" applyFill="1" applyBorder="1" applyAlignment="1" applyProtection="1">
      <alignment horizontal="center" vertical="center" wrapText="1"/>
    </xf>
    <xf numFmtId="0" fontId="44" fillId="19" borderId="14" xfId="0" applyFont="1" applyFill="1" applyBorder="1" applyAlignment="1" applyProtection="1">
      <alignment horizontal="center" vertical="center" wrapText="1"/>
    </xf>
    <xf numFmtId="0" fontId="24" fillId="13" borderId="17" xfId="0" applyFont="1" applyFill="1" applyBorder="1" applyAlignment="1">
      <alignment horizontal="center" vertical="center" wrapText="1"/>
    </xf>
    <xf numFmtId="0" fontId="24" fillId="13" borderId="6" xfId="0" applyFont="1" applyFill="1" applyBorder="1" applyAlignment="1">
      <alignment horizontal="center" vertical="center" wrapText="1"/>
    </xf>
    <xf numFmtId="49" fontId="21" fillId="13" borderId="45" xfId="2" applyNumberFormat="1" applyFont="1" applyFill="1" applyBorder="1" applyAlignment="1">
      <alignment horizontal="center" vertical="center"/>
    </xf>
    <xf numFmtId="49" fontId="21" fillId="13" borderId="40" xfId="2" applyNumberFormat="1" applyFont="1" applyFill="1" applyBorder="1" applyAlignment="1">
      <alignment horizontal="center" vertical="center"/>
    </xf>
    <xf numFmtId="49" fontId="21" fillId="13" borderId="45" xfId="2" applyNumberFormat="1" applyFont="1" applyFill="1" applyBorder="1" applyAlignment="1">
      <alignment horizontal="center" vertical="center" wrapText="1"/>
    </xf>
    <xf numFmtId="165" fontId="21" fillId="13" borderId="42" xfId="2" applyFont="1" applyFill="1" applyBorder="1" applyAlignment="1">
      <alignment horizontal="center" vertical="center"/>
    </xf>
    <xf numFmtId="165" fontId="21" fillId="13" borderId="46" xfId="2" applyFont="1" applyFill="1" applyBorder="1" applyAlignment="1">
      <alignment horizontal="center" vertical="center"/>
    </xf>
    <xf numFmtId="165" fontId="21" fillId="13" borderId="47" xfId="2" applyFont="1" applyFill="1" applyBorder="1" applyAlignment="1">
      <alignment horizontal="center" vertical="center"/>
    </xf>
    <xf numFmtId="165" fontId="21" fillId="13" borderId="36" xfId="2" applyFont="1" applyFill="1" applyBorder="1" applyAlignment="1">
      <alignment horizontal="center" vertical="center"/>
    </xf>
    <xf numFmtId="165" fontId="21" fillId="13" borderId="43" xfId="2" applyFont="1" applyFill="1" applyBorder="1" applyAlignment="1">
      <alignment horizontal="center" vertical="center"/>
    </xf>
    <xf numFmtId="165" fontId="21" fillId="13" borderId="44" xfId="2" applyFont="1" applyFill="1" applyBorder="1" applyAlignment="1">
      <alignment horizontal="center" vertical="center"/>
    </xf>
    <xf numFmtId="9" fontId="21" fillId="13" borderId="35" xfId="1" applyFont="1" applyFill="1" applyBorder="1" applyAlignment="1">
      <alignment horizontal="center" vertical="center"/>
    </xf>
    <xf numFmtId="49" fontId="21" fillId="13" borderId="35" xfId="2" applyNumberFormat="1" applyFont="1" applyFill="1" applyBorder="1" applyAlignment="1">
      <alignment horizontal="center" vertical="center"/>
    </xf>
    <xf numFmtId="169" fontId="21" fillId="13" borderId="42" xfId="2" applyNumberFormat="1" applyFont="1" applyFill="1" applyBorder="1" applyAlignment="1">
      <alignment horizontal="center" vertical="center" wrapText="1"/>
    </xf>
    <xf numFmtId="169" fontId="21" fillId="13" borderId="36" xfId="2" applyNumberFormat="1" applyFont="1" applyFill="1" applyBorder="1" applyAlignment="1">
      <alignment horizontal="center" vertical="center" wrapText="1"/>
    </xf>
    <xf numFmtId="0" fontId="21" fillId="13" borderId="35" xfId="0" applyFont="1" applyFill="1" applyBorder="1" applyAlignment="1">
      <alignment horizontal="center" vertical="center"/>
    </xf>
    <xf numFmtId="169" fontId="21" fillId="13" borderId="0" xfId="2" applyNumberFormat="1" applyFont="1" applyFill="1" applyBorder="1" applyAlignment="1">
      <alignment horizontal="center" vertical="center" wrapText="1"/>
    </xf>
    <xf numFmtId="0" fontId="22" fillId="9" borderId="1" xfId="11" applyFont="1" applyFill="1" applyBorder="1" applyAlignment="1">
      <alignment horizontal="left" vertical="center" wrapText="1" readingOrder="1"/>
    </xf>
    <xf numFmtId="0" fontId="24" fillId="10" borderId="1" xfId="11" applyFont="1" applyFill="1" applyBorder="1" applyAlignment="1">
      <alignment horizontal="right"/>
    </xf>
    <xf numFmtId="0" fontId="24" fillId="10" borderId="1" xfId="11" applyFont="1" applyFill="1" applyBorder="1" applyAlignment="1">
      <alignment horizontal="center" vertical="center" wrapText="1"/>
    </xf>
    <xf numFmtId="0" fontId="24" fillId="10" borderId="1" xfId="11" applyFont="1" applyFill="1" applyBorder="1" applyAlignment="1">
      <alignment horizontal="center" vertical="center" wrapText="1" readingOrder="1"/>
    </xf>
    <xf numFmtId="0" fontId="24" fillId="10" borderId="48" xfId="11" applyFont="1" applyFill="1" applyBorder="1" applyAlignment="1">
      <alignment horizontal="center" vertical="center" wrapText="1" readingOrder="1"/>
    </xf>
    <xf numFmtId="41" fontId="24" fillId="10" borderId="1" xfId="11" applyNumberFormat="1" applyFont="1" applyFill="1" applyBorder="1" applyAlignment="1">
      <alignment horizontal="center" vertical="center" wrapText="1"/>
    </xf>
    <xf numFmtId="41" fontId="24" fillId="10" borderId="48" xfId="11" applyNumberFormat="1" applyFont="1" applyFill="1" applyBorder="1" applyAlignment="1">
      <alignment horizontal="center" vertical="center" wrapText="1"/>
    </xf>
    <xf numFmtId="0" fontId="22" fillId="7" borderId="1" xfId="11" applyFont="1" applyFill="1" applyBorder="1" applyAlignment="1">
      <alignment horizontal="left" vertical="center" readingOrder="1"/>
    </xf>
    <xf numFmtId="0" fontId="22" fillId="8" borderId="1" xfId="11" applyFont="1" applyFill="1" applyBorder="1" applyAlignment="1">
      <alignment horizontal="left" vertical="center" wrapText="1" readingOrder="1"/>
    </xf>
  </cellXfs>
  <cellStyles count="21">
    <cellStyle name="Moeda 2" xfId="4" xr:uid="{00000000-0005-0000-0000-000002000000}"/>
    <cellStyle name="Neutro 2" xfId="14" xr:uid="{B7D4F400-4FF0-453D-970F-BADE9427817E}"/>
    <cellStyle name="Normal" xfId="0" builtinId="0"/>
    <cellStyle name="Normal 2" xfId="3" xr:uid="{00000000-0005-0000-0000-000005000000}"/>
    <cellStyle name="Normal 2 2" xfId="12" xr:uid="{00000000-0005-0000-0000-000006000000}"/>
    <cellStyle name="Normal 3" xfId="6" xr:uid="{00000000-0005-0000-0000-000007000000}"/>
    <cellStyle name="Normal 3 2" xfId="7" xr:uid="{00000000-0005-0000-0000-000008000000}"/>
    <cellStyle name="Normal 3 2 2" xfId="11" xr:uid="{00000000-0005-0000-0000-000009000000}"/>
    <cellStyle name="Porcentagem" xfId="1" builtinId="5"/>
    <cellStyle name="Porcentagem 2" xfId="10" xr:uid="{00000000-0005-0000-0000-00000B000000}"/>
    <cellStyle name="Separador de milhares 2" xfId="13" xr:uid="{A5A59E50-C8F8-4F03-BC99-32EB3492AD50}"/>
    <cellStyle name="Vírgula" xfId="2" builtinId="3"/>
    <cellStyle name="Vírgula 2" xfId="5" xr:uid="{00000000-0005-0000-0000-00000D000000}"/>
    <cellStyle name="Vírgula 2 2" xfId="9" xr:uid="{00000000-0005-0000-0000-00000E000000}"/>
    <cellStyle name="Vírgula 2 2 2" xfId="17" xr:uid="{51E86F7F-CA76-425D-8D58-154EAF3A3E42}"/>
    <cellStyle name="Vírgula 2 2 3" xfId="20" xr:uid="{1255A661-423B-435A-AA16-D6202BDD878D}"/>
    <cellStyle name="Vírgula 2 3" xfId="15" xr:uid="{6937E294-1174-4358-907D-9CF80D3963F5}"/>
    <cellStyle name="Vírgula 2 4" xfId="18" xr:uid="{7DB6CDB3-55D6-4576-91A9-70E43413A67E}"/>
    <cellStyle name="Vírgula 4" xfId="8" xr:uid="{00000000-0005-0000-0000-00000F000000}"/>
    <cellStyle name="Vírgula 4 2" xfId="16" xr:uid="{E9B2874C-9210-4FFC-BF2D-02F8A7842016}"/>
    <cellStyle name="Vírgula 4 3" xfId="19" xr:uid="{D4474745-C813-4963-8DBA-D0B6D76B7F02}"/>
  </cellStyles>
  <dxfs count="26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600"/>
      </font>
      <fill>
        <patternFill>
          <bgColor rgb="FF006600"/>
        </patternFill>
      </fill>
    </dxf>
    <dxf>
      <fill>
        <patternFill>
          <bgColor theme="4" tint="0.59996337778862885"/>
        </patternFill>
      </fill>
    </dxf>
    <dxf>
      <fill>
        <patternFill>
          <bgColor theme="9" tint="0.59996337778862885"/>
        </patternFill>
      </fill>
    </dxf>
    <dxf>
      <font>
        <color rgb="FF006600"/>
      </font>
      <fill>
        <patternFill>
          <bgColor rgb="FF006600"/>
        </patternFill>
      </fill>
    </dxf>
    <dxf>
      <fill>
        <patternFill>
          <bgColor theme="4" tint="0.59996337778862885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  <i val="0"/>
        <color rgb="FFFF0000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  <i val="0"/>
        <color rgb="FFFF0000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2A5664"/>
      <color rgb="FFE6FB7D"/>
      <color rgb="FFD1E3F3"/>
      <color rgb="FF5E9AA6"/>
      <color rgb="FFDEEBF6"/>
      <color rgb="FFE4F0F0"/>
      <color rgb="FF006871"/>
      <color rgb="FF5E9AC4"/>
      <color rgb="FFFFFADE"/>
      <color rgb="FFFFF7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atriciagomo/Desktop/Reprograma&#231;&#227;o%202020/Tabelas%20Diretrizes%20-%20Reprog%2020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0.103\fs-caubr\Users\patriciagomo\Desktop\Tabelas%20Diretrizes%20-%20Reprog%20202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af%2002/Desktop/CAU%20RN/_FINANCEIRO/OR&#199;AMENTOS%20+%20PA/2021/3.%20RELAT&#211;RIO%20DE%20GEST&#195;O%202021/Reprograma&#231;&#227;o%20Ordin&#225;ria%202021_CAU_R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UADRO 1"/>
      <sheetName val="QUADRO 2"/>
      <sheetName val="QUADRO 3"/>
      <sheetName val="QUADRO 4"/>
      <sheetName val="Simulação de %"/>
      <sheetName val="Estudos - Receita"/>
      <sheetName val="ANEXO I"/>
      <sheetName val="ANEXO II"/>
      <sheetName val="ANEXO III e Anexo IX"/>
      <sheetName val="Estudos - Quant. PF"/>
      <sheetName val="NOVOS EGRESSOS"/>
      <sheetName val="Estudos-Percentuais"/>
      <sheetName val="ANEXO IV"/>
      <sheetName val="ANEXO V"/>
      <sheetName val="Estudos - Quant. PJ"/>
      <sheetName val="ANEXO VI"/>
      <sheetName val="ANEXO VII"/>
      <sheetName val="ANEXO VIII"/>
      <sheetName val="ANEXO X Aporte FA"/>
      <sheetName val="ANEXO X.I Repasse FA"/>
      <sheetName val="ANEXO XI CSC Total"/>
      <sheetName val="ANEXO XI.I CSC RIA"/>
      <sheetName val="ANEXO XI.II CSC Essencial"/>
      <sheetName val="ANEXO XI.III - RIA Enc. dContas"/>
      <sheetName val="ANEXO XII"/>
      <sheetName val="XIII. TAXAS BANCÁRIAS"/>
      <sheetName val="NOVO SISCAF"/>
      <sheetName val="Gráficos e Tabelas"/>
      <sheetName val="Resumo - Ajuste pelos UFs"/>
      <sheetName val="Resum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">
          <cell r="XFB1">
            <v>0.05</v>
          </cell>
        </row>
        <row r="2">
          <cell r="XFB2">
            <v>0.1</v>
          </cell>
        </row>
        <row r="3">
          <cell r="XFB3">
            <v>0.15</v>
          </cell>
        </row>
        <row r="4">
          <cell r="XFB4">
            <v>0.2</v>
          </cell>
        </row>
        <row r="5">
          <cell r="XFB5">
            <v>0.25</v>
          </cell>
        </row>
        <row r="6">
          <cell r="XFB6">
            <v>0.3</v>
          </cell>
        </row>
        <row r="7">
          <cell r="XFB7">
            <v>0.35</v>
          </cell>
        </row>
        <row r="8">
          <cell r="XFB8">
            <v>0.4</v>
          </cell>
        </row>
        <row r="9">
          <cell r="XFB9">
            <v>0.45</v>
          </cell>
        </row>
        <row r="10">
          <cell r="XFB10">
            <v>0.5</v>
          </cell>
        </row>
        <row r="11">
          <cell r="XFB11">
            <v>0.55000000000000004</v>
          </cell>
        </row>
        <row r="12">
          <cell r="XFB12">
            <v>0.6</v>
          </cell>
        </row>
        <row r="13">
          <cell r="XFB13">
            <v>0.65</v>
          </cell>
        </row>
        <row r="14">
          <cell r="XFB14">
            <v>0.7</v>
          </cell>
        </row>
        <row r="15">
          <cell r="XFB15">
            <v>0.75</v>
          </cell>
        </row>
        <row r="16">
          <cell r="XFB16">
            <v>0.8</v>
          </cell>
        </row>
        <row r="17">
          <cell r="XFB17">
            <v>0.85</v>
          </cell>
        </row>
        <row r="18">
          <cell r="XFB18">
            <v>0.9</v>
          </cell>
        </row>
        <row r="19">
          <cell r="XFB19">
            <v>0.95</v>
          </cell>
        </row>
        <row r="20">
          <cell r="XFB20">
            <v>1</v>
          </cell>
        </row>
      </sheetData>
      <sheetData sheetId="6">
        <row r="5">
          <cell r="C5">
            <v>586</v>
          </cell>
        </row>
      </sheetData>
      <sheetData sheetId="7" refreshError="1"/>
      <sheetData sheetId="8">
        <row r="6">
          <cell r="AX6">
            <v>67439.888000000006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2">
          <cell r="J2" t="str">
            <v>PJ até 2 anos com sócio AU formado até 2 anos</v>
          </cell>
          <cell r="L2" t="str">
            <v>Relatório 14</v>
          </cell>
          <cell r="M2">
            <v>0</v>
          </cell>
          <cell r="N2">
            <v>0</v>
          </cell>
          <cell r="O2">
            <v>0</v>
          </cell>
        </row>
        <row r="3">
          <cell r="L3">
            <v>0</v>
          </cell>
          <cell r="M3">
            <v>0</v>
          </cell>
          <cell r="N3">
            <v>0</v>
          </cell>
          <cell r="O3">
            <v>0</v>
          </cell>
        </row>
        <row r="4">
          <cell r="L4" t="str">
            <v>Situação de Registro Ativo</v>
          </cell>
          <cell r="M4" t="str">
            <v>Inativos</v>
          </cell>
          <cell r="N4" t="str">
            <v>Pagantes</v>
          </cell>
          <cell r="O4" t="str">
            <v>0/1</v>
          </cell>
        </row>
        <row r="5">
          <cell r="N5">
            <v>32</v>
          </cell>
          <cell r="O5">
            <v>7</v>
          </cell>
        </row>
        <row r="6">
          <cell r="N6">
            <v>63</v>
          </cell>
          <cell r="O6">
            <v>12</v>
          </cell>
        </row>
        <row r="7">
          <cell r="N7">
            <v>37</v>
          </cell>
          <cell r="O7">
            <v>10</v>
          </cell>
        </row>
        <row r="8">
          <cell r="N8">
            <v>89</v>
          </cell>
          <cell r="O8">
            <v>12</v>
          </cell>
        </row>
        <row r="9">
          <cell r="N9">
            <v>56</v>
          </cell>
          <cell r="O9">
            <v>13</v>
          </cell>
        </row>
        <row r="10">
          <cell r="N10">
            <v>14</v>
          </cell>
          <cell r="O10">
            <v>0</v>
          </cell>
        </row>
        <row r="11">
          <cell r="N11">
            <v>41</v>
          </cell>
          <cell r="O11">
            <v>5</v>
          </cell>
        </row>
        <row r="12">
          <cell r="N12">
            <v>332</v>
          </cell>
          <cell r="O12">
            <v>59</v>
          </cell>
        </row>
        <row r="13">
          <cell r="N13">
            <v>41</v>
          </cell>
          <cell r="O13">
            <v>5</v>
          </cell>
        </row>
        <row r="14">
          <cell r="N14">
            <v>283</v>
          </cell>
          <cell r="O14">
            <v>28</v>
          </cell>
        </row>
        <row r="15">
          <cell r="N15">
            <v>139</v>
          </cell>
          <cell r="O15">
            <v>7</v>
          </cell>
        </row>
        <row r="16">
          <cell r="N16">
            <v>49</v>
          </cell>
          <cell r="O16">
            <v>5</v>
          </cell>
        </row>
        <row r="17">
          <cell r="N17">
            <v>87</v>
          </cell>
          <cell r="O17">
            <v>11</v>
          </cell>
        </row>
        <row r="18">
          <cell r="N18">
            <v>205</v>
          </cell>
          <cell r="O18">
            <v>19</v>
          </cell>
        </row>
        <row r="19">
          <cell r="N19">
            <v>70</v>
          </cell>
          <cell r="O19">
            <v>13</v>
          </cell>
        </row>
        <row r="20">
          <cell r="N20">
            <v>72</v>
          </cell>
          <cell r="O20">
            <v>6</v>
          </cell>
        </row>
        <row r="21">
          <cell r="N21">
            <v>57</v>
          </cell>
          <cell r="O21">
            <v>6</v>
          </cell>
        </row>
        <row r="22">
          <cell r="N22">
            <v>1003</v>
          </cell>
          <cell r="O22">
            <v>100</v>
          </cell>
        </row>
        <row r="23">
          <cell r="N23">
            <v>222</v>
          </cell>
          <cell r="O23">
            <v>27</v>
          </cell>
        </row>
        <row r="24">
          <cell r="N24">
            <v>212</v>
          </cell>
          <cell r="O24">
            <v>47</v>
          </cell>
        </row>
        <row r="25">
          <cell r="N25">
            <v>182</v>
          </cell>
          <cell r="O25">
            <v>26</v>
          </cell>
        </row>
        <row r="26">
          <cell r="N26">
            <v>172</v>
          </cell>
          <cell r="O26">
            <v>22</v>
          </cell>
        </row>
        <row r="27">
          <cell r="N27">
            <v>788</v>
          </cell>
          <cell r="O27">
            <v>122</v>
          </cell>
        </row>
        <row r="28">
          <cell r="N28">
            <v>225</v>
          </cell>
          <cell r="O28">
            <v>13</v>
          </cell>
        </row>
        <row r="29">
          <cell r="N29">
            <v>738</v>
          </cell>
          <cell r="O29">
            <v>69</v>
          </cell>
        </row>
        <row r="30">
          <cell r="N30">
            <v>1078</v>
          </cell>
          <cell r="O30">
            <v>82</v>
          </cell>
        </row>
        <row r="31">
          <cell r="N31">
            <v>3458</v>
          </cell>
          <cell r="O31">
            <v>154</v>
          </cell>
        </row>
        <row r="32">
          <cell r="N32">
            <v>5499</v>
          </cell>
          <cell r="O32">
            <v>318</v>
          </cell>
        </row>
        <row r="33">
          <cell r="N33">
            <v>1058</v>
          </cell>
          <cell r="O33">
            <v>125</v>
          </cell>
        </row>
        <row r="34">
          <cell r="N34">
            <v>949</v>
          </cell>
          <cell r="O34">
            <v>87</v>
          </cell>
        </row>
        <row r="35">
          <cell r="N35">
            <v>649</v>
          </cell>
          <cell r="O35">
            <v>70</v>
          </cell>
        </row>
        <row r="36">
          <cell r="N36">
            <v>2656</v>
          </cell>
          <cell r="O36">
            <v>282</v>
          </cell>
        </row>
        <row r="37">
          <cell r="N37">
            <v>10278</v>
          </cell>
          <cell r="O37">
            <v>881</v>
          </cell>
        </row>
      </sheetData>
      <sheetData sheetId="15" refreshError="1"/>
      <sheetData sheetId="16" refreshError="1"/>
      <sheetData sheetId="17" refreshError="1"/>
      <sheetData sheetId="18">
        <row r="3">
          <cell r="A3" t="str">
            <v>SP</v>
          </cell>
        </row>
      </sheetData>
      <sheetData sheetId="19">
        <row r="30">
          <cell r="A30" t="str">
            <v>RR</v>
          </cell>
        </row>
      </sheetData>
      <sheetData sheetId="20">
        <row r="3">
          <cell r="D3">
            <v>2726.8547648527197</v>
          </cell>
        </row>
      </sheetData>
      <sheetData sheetId="21" refreshError="1"/>
      <sheetData sheetId="22" refreshError="1"/>
      <sheetData sheetId="23">
        <row r="2">
          <cell r="A2" t="str">
            <v>AC</v>
          </cell>
        </row>
      </sheetData>
      <sheetData sheetId="24">
        <row r="10">
          <cell r="A10" t="str">
            <v>RR</v>
          </cell>
        </row>
      </sheetData>
      <sheetData sheetId="25">
        <row r="3">
          <cell r="A3" t="str">
            <v>AC</v>
          </cell>
        </row>
      </sheetData>
      <sheetData sheetId="26" refreshError="1"/>
      <sheetData sheetId="27" refreshError="1"/>
      <sheetData sheetId="28" refreshError="1"/>
      <sheetData sheetId="2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UADRO 1"/>
      <sheetName val="QUADRO 2"/>
      <sheetName val="QUADRO 3"/>
      <sheetName val="QUADRO 4"/>
      <sheetName val="Simulação de %"/>
      <sheetName val="Estudos - Receita"/>
      <sheetName val="ANEXO I"/>
      <sheetName val="ANEXO II"/>
      <sheetName val="ANEXO III e Anexo IX"/>
      <sheetName val="Estudos - Quant. PF"/>
      <sheetName val="NOVOS EGRESSOS"/>
      <sheetName val="Estudos-Percentuais"/>
      <sheetName val="ANEXO IV"/>
      <sheetName val="ANEXO V"/>
      <sheetName val="Estudos - Quant. PJ"/>
      <sheetName val="ANEXO VI"/>
      <sheetName val="ANEXO VII"/>
      <sheetName val="ANEXO VIII"/>
      <sheetName val="ANEXO X Aporte FA"/>
      <sheetName val="ANEXO X.I Repasse FA"/>
      <sheetName val="ANEXO XI CSC Total"/>
      <sheetName val="ANEXO XI.I CSC RIA"/>
      <sheetName val="ANEXO XI.II CSC Essencial"/>
      <sheetName val="ANEXO XI.III - RIA Enc. dContas"/>
      <sheetName val="ANEXO XII"/>
      <sheetName val="XIII. TAXAS BANCÁRIAS"/>
      <sheetName val="NOVO SISCAF"/>
      <sheetName val="Gráficos e Tabelas"/>
      <sheetName val="Resumo - Ajuste pelos UFs"/>
      <sheetName val="Resumo"/>
      <sheetName val="QUADRO_1"/>
      <sheetName val="QUADRO_2"/>
      <sheetName val="QUADRO_3"/>
      <sheetName val="QUADRO_4"/>
      <sheetName val="Simulação_de_%"/>
      <sheetName val="Estudos_-_Receita"/>
      <sheetName val="ANEXO_I"/>
      <sheetName val="ANEXO_II"/>
      <sheetName val="ANEXO_III_e_Anexo_IX"/>
      <sheetName val="Estudos_-_Quant__PF"/>
      <sheetName val="NOVOS_EGRESSOS"/>
      <sheetName val="ANEXO_IV"/>
      <sheetName val="ANEXO_V"/>
      <sheetName val="Estudos_-_Quant__PJ"/>
      <sheetName val="ANEXO_VI"/>
      <sheetName val="ANEXO_VII"/>
      <sheetName val="ANEXO_VIII"/>
      <sheetName val="ANEXO_X_Aporte_FA"/>
      <sheetName val="ANEXO_X_I_Repasse_FA"/>
      <sheetName val="ANEXO_XI_CSC_Total"/>
      <sheetName val="ANEXO_XI_I_CSC_RIA"/>
      <sheetName val="ANEXO_XI_II_CSC_Essencial"/>
      <sheetName val="ANEXO_XI_III_-_RIA_Enc__dContas"/>
      <sheetName val="ANEXO_XII"/>
      <sheetName val="XIII__TAXAS_BANCÁRIAS"/>
      <sheetName val="NOVO_SISCAF"/>
      <sheetName val="Gráficos_e_Tabelas"/>
      <sheetName val="Resumo_-_Ajuste_pelos_UFs"/>
      <sheetName val="Resumo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">
          <cell r="XFB1">
            <v>0.05</v>
          </cell>
        </row>
        <row r="2">
          <cell r="XFB2">
            <v>0.1</v>
          </cell>
        </row>
        <row r="3">
          <cell r="XFB3">
            <v>0.15</v>
          </cell>
        </row>
        <row r="4">
          <cell r="XFB4">
            <v>0.2</v>
          </cell>
        </row>
        <row r="5">
          <cell r="XFB5">
            <v>0.25</v>
          </cell>
        </row>
        <row r="6">
          <cell r="XFB6">
            <v>0.3</v>
          </cell>
        </row>
        <row r="7">
          <cell r="XFB7">
            <v>0.35</v>
          </cell>
        </row>
        <row r="8">
          <cell r="XFB8">
            <v>0.4</v>
          </cell>
        </row>
        <row r="9">
          <cell r="XFB9">
            <v>0.45</v>
          </cell>
        </row>
        <row r="10">
          <cell r="XFB10">
            <v>0.5</v>
          </cell>
        </row>
        <row r="11">
          <cell r="XFB11">
            <v>0.55000000000000004</v>
          </cell>
        </row>
        <row r="12">
          <cell r="XFB12">
            <v>0.6</v>
          </cell>
        </row>
        <row r="13">
          <cell r="XFB13">
            <v>0.65</v>
          </cell>
        </row>
        <row r="14">
          <cell r="XFB14">
            <v>0.7</v>
          </cell>
        </row>
        <row r="15">
          <cell r="XFB15">
            <v>0.75</v>
          </cell>
        </row>
        <row r="16">
          <cell r="XFB16">
            <v>0.8</v>
          </cell>
        </row>
        <row r="17">
          <cell r="XFB17">
            <v>0.85</v>
          </cell>
        </row>
        <row r="18">
          <cell r="XFB18">
            <v>0.9</v>
          </cell>
        </row>
        <row r="19">
          <cell r="XFB19">
            <v>0.95</v>
          </cell>
        </row>
        <row r="20">
          <cell r="XFB20">
            <v>1</v>
          </cell>
        </row>
      </sheetData>
      <sheetData sheetId="6">
        <row r="5">
          <cell r="C5">
            <v>586</v>
          </cell>
        </row>
      </sheetData>
      <sheetData sheetId="7" refreshError="1"/>
      <sheetData sheetId="8">
        <row r="6">
          <cell r="AX6">
            <v>67439.888000000006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2">
          <cell r="J2" t="str">
            <v>PJ até 2 anos com sócio AU formado até 2 anos</v>
          </cell>
          <cell r="L2" t="str">
            <v>Relatório 14</v>
          </cell>
        </row>
        <row r="4">
          <cell r="L4" t="str">
            <v>Situação de Registro Ativo</v>
          </cell>
          <cell r="M4" t="str">
            <v>Inativos</v>
          </cell>
          <cell r="N4" t="str">
            <v>Pagantes</v>
          </cell>
          <cell r="O4" t="str">
            <v>0/1</v>
          </cell>
        </row>
        <row r="5">
          <cell r="N5">
            <v>32</v>
          </cell>
          <cell r="O5">
            <v>7</v>
          </cell>
        </row>
        <row r="6">
          <cell r="N6">
            <v>63</v>
          </cell>
          <cell r="O6">
            <v>12</v>
          </cell>
        </row>
        <row r="7">
          <cell r="N7">
            <v>37</v>
          </cell>
          <cell r="O7">
            <v>10</v>
          </cell>
        </row>
        <row r="8">
          <cell r="N8">
            <v>89</v>
          </cell>
          <cell r="O8">
            <v>12</v>
          </cell>
        </row>
        <row r="9">
          <cell r="N9">
            <v>56</v>
          </cell>
          <cell r="O9">
            <v>13</v>
          </cell>
        </row>
        <row r="10">
          <cell r="N10">
            <v>14</v>
          </cell>
          <cell r="O10">
            <v>0</v>
          </cell>
        </row>
        <row r="11">
          <cell r="N11">
            <v>41</v>
          </cell>
          <cell r="O11">
            <v>5</v>
          </cell>
        </row>
        <row r="12">
          <cell r="N12">
            <v>332</v>
          </cell>
          <cell r="O12">
            <v>59</v>
          </cell>
        </row>
        <row r="13">
          <cell r="N13">
            <v>41</v>
          </cell>
          <cell r="O13">
            <v>5</v>
          </cell>
        </row>
        <row r="14">
          <cell r="N14">
            <v>283</v>
          </cell>
          <cell r="O14">
            <v>28</v>
          </cell>
        </row>
        <row r="15">
          <cell r="N15">
            <v>139</v>
          </cell>
          <cell r="O15">
            <v>7</v>
          </cell>
        </row>
        <row r="16">
          <cell r="N16">
            <v>49</v>
          </cell>
          <cell r="O16">
            <v>5</v>
          </cell>
        </row>
        <row r="17">
          <cell r="N17">
            <v>87</v>
          </cell>
          <cell r="O17">
            <v>11</v>
          </cell>
        </row>
        <row r="18">
          <cell r="N18">
            <v>205</v>
          </cell>
          <cell r="O18">
            <v>19</v>
          </cell>
        </row>
        <row r="19">
          <cell r="N19">
            <v>70</v>
          </cell>
          <cell r="O19">
            <v>13</v>
          </cell>
        </row>
        <row r="20">
          <cell r="N20">
            <v>72</v>
          </cell>
          <cell r="O20">
            <v>6</v>
          </cell>
        </row>
        <row r="21">
          <cell r="N21">
            <v>57</v>
          </cell>
          <cell r="O21">
            <v>6</v>
          </cell>
        </row>
        <row r="22">
          <cell r="N22">
            <v>1003</v>
          </cell>
          <cell r="O22">
            <v>100</v>
          </cell>
        </row>
        <row r="23">
          <cell r="N23">
            <v>222</v>
          </cell>
          <cell r="O23">
            <v>27</v>
          </cell>
        </row>
        <row r="24">
          <cell r="N24">
            <v>212</v>
          </cell>
          <cell r="O24">
            <v>47</v>
          </cell>
        </row>
        <row r="25">
          <cell r="N25">
            <v>182</v>
          </cell>
          <cell r="O25">
            <v>26</v>
          </cell>
        </row>
        <row r="26">
          <cell r="N26">
            <v>172</v>
          </cell>
          <cell r="O26">
            <v>22</v>
          </cell>
        </row>
        <row r="27">
          <cell r="N27">
            <v>788</v>
          </cell>
          <cell r="O27">
            <v>122</v>
          </cell>
        </row>
        <row r="28">
          <cell r="N28">
            <v>225</v>
          </cell>
          <cell r="O28">
            <v>13</v>
          </cell>
        </row>
        <row r="29">
          <cell r="N29">
            <v>738</v>
          </cell>
          <cell r="O29">
            <v>69</v>
          </cell>
        </row>
        <row r="30">
          <cell r="N30">
            <v>1078</v>
          </cell>
          <cell r="O30">
            <v>82</v>
          </cell>
        </row>
        <row r="31">
          <cell r="N31">
            <v>3458</v>
          </cell>
          <cell r="O31">
            <v>154</v>
          </cell>
        </row>
        <row r="32">
          <cell r="N32">
            <v>5499</v>
          </cell>
          <cell r="O32">
            <v>318</v>
          </cell>
        </row>
        <row r="33">
          <cell r="N33">
            <v>1058</v>
          </cell>
          <cell r="O33">
            <v>125</v>
          </cell>
        </row>
        <row r="34">
          <cell r="N34">
            <v>949</v>
          </cell>
          <cell r="O34">
            <v>87</v>
          </cell>
        </row>
        <row r="35">
          <cell r="N35">
            <v>649</v>
          </cell>
          <cell r="O35">
            <v>70</v>
          </cell>
        </row>
        <row r="36">
          <cell r="N36">
            <v>2656</v>
          </cell>
          <cell r="O36">
            <v>282</v>
          </cell>
        </row>
        <row r="37">
          <cell r="N37">
            <v>10278</v>
          </cell>
          <cell r="O37">
            <v>881</v>
          </cell>
        </row>
      </sheetData>
      <sheetData sheetId="15" refreshError="1"/>
      <sheetData sheetId="16" refreshError="1"/>
      <sheetData sheetId="17" refreshError="1"/>
      <sheetData sheetId="18">
        <row r="3">
          <cell r="A3" t="str">
            <v>SP</v>
          </cell>
        </row>
      </sheetData>
      <sheetData sheetId="19">
        <row r="30">
          <cell r="A30" t="str">
            <v>RR</v>
          </cell>
        </row>
      </sheetData>
      <sheetData sheetId="20">
        <row r="3">
          <cell r="D3">
            <v>2726.8547648527197</v>
          </cell>
        </row>
      </sheetData>
      <sheetData sheetId="21" refreshError="1"/>
      <sheetData sheetId="22" refreshError="1"/>
      <sheetData sheetId="23">
        <row r="2">
          <cell r="A2" t="str">
            <v>AC</v>
          </cell>
        </row>
      </sheetData>
      <sheetData sheetId="24">
        <row r="10">
          <cell r="A10" t="str">
            <v>RR</v>
          </cell>
        </row>
      </sheetData>
      <sheetData sheetId="25">
        <row r="3">
          <cell r="A3" t="str">
            <v>AC</v>
          </cell>
        </row>
      </sheetData>
      <sheetData sheetId="26" refreshError="1"/>
      <sheetData sheetId="27" refreshError="1"/>
      <sheetData sheetId="28" refreshError="1"/>
      <sheetData sheetId="29" refreshError="1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>
        <row r="2">
          <cell r="J2" t="str">
            <v>PJ até 2 anos com sócio AU formado até 2 anos</v>
          </cell>
        </row>
      </sheetData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o (2)"/>
      <sheetName val="Orientações Iniciais"/>
      <sheetName val="Mapa Estratégico e ODS "/>
      <sheetName val="Indicadores e Metas"/>
      <sheetName val="Quadro Geral"/>
      <sheetName val="Anexo 1. Fontes e Aplicações"/>
      <sheetName val="Anexo 2. Limites Estratégicos"/>
      <sheetName val="Anexo 3. Elemento de Despesas"/>
      <sheetName val="Ativ 1 - Fundo de Apoio"/>
      <sheetName val="Resumo"/>
      <sheetName val="Ativ 2 - Reserva de Contigencia"/>
      <sheetName val="Ativ. 3 - CSC Fiscalizacao"/>
      <sheetName val="Ativ 4 - CSC Atendimento"/>
      <sheetName val="Ativ. 5 - Despesas Financeiras"/>
      <sheetName val="Ativ. 6 - Atendimento"/>
      <sheetName val="Ativ. 7 - Rotinas"/>
      <sheetName val="Ativ. 8 - Fiscalizacao"/>
      <sheetName val="Proj 1 - Patrocínio"/>
      <sheetName val="Proj 2 - Capacit de pessoal"/>
      <sheetName val="Proj 3 - Plano de Mídia"/>
      <sheetName val="Proj. 4 - Eventos"/>
      <sheetName val="Proj 5 - Reforma da Sede"/>
      <sheetName val="Proj 6 - ATHIS "/>
      <sheetName val="Proj 7 -Relaçoes Institucionais"/>
      <sheetName val="Anexo 4.Quadro Descritivo. (5)"/>
      <sheetName val="AÇÕES ESTRATÉGICAS - DESCRIÇÃO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L5">
            <v>931760.77482728835</v>
          </cell>
        </row>
        <row r="6">
          <cell r="L6">
            <v>300</v>
          </cell>
        </row>
        <row r="12">
          <cell r="E12">
            <v>414331.03</v>
          </cell>
        </row>
        <row r="14">
          <cell r="E14">
            <v>804110.32</v>
          </cell>
          <cell r="L14">
            <v>22000</v>
          </cell>
        </row>
        <row r="16">
          <cell r="E16">
            <v>99266.59</v>
          </cell>
        </row>
        <row r="18">
          <cell r="E18">
            <v>5000</v>
          </cell>
        </row>
        <row r="20">
          <cell r="E20">
            <v>903376.90999999992</v>
          </cell>
        </row>
        <row r="22">
          <cell r="E22">
            <v>83786.55</v>
          </cell>
        </row>
        <row r="24">
          <cell r="E24">
            <v>21000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8DA083-BCCE-4BF0-BE4A-B63BF0A4B10E}">
  <sheetPr>
    <tabColor rgb="FF00B050"/>
  </sheetPr>
  <dimension ref="A1:S127"/>
  <sheetViews>
    <sheetView showGridLines="0" tabSelected="1" topLeftCell="B97" zoomScale="80" zoomScaleNormal="80" zoomScaleSheetLayoutView="50" workbookViewId="0">
      <selection activeCell="B106" sqref="B106"/>
    </sheetView>
  </sheetViews>
  <sheetFormatPr defaultColWidth="9.140625" defaultRowHeight="23.25" zeroHeight="1" x14ac:dyDescent="0.35"/>
  <cols>
    <col min="1" max="1" width="74.7109375" style="110" customWidth="1"/>
    <col min="2" max="2" width="81" style="111" customWidth="1"/>
    <col min="3" max="3" width="11.5703125" style="112" customWidth="1"/>
    <col min="4" max="4" width="18.42578125" style="112" customWidth="1"/>
    <col min="5" max="5" width="16.5703125" style="111" bestFit="1" customWidth="1"/>
    <col min="6" max="6" width="17" style="111" customWidth="1"/>
    <col min="7" max="7" width="17" style="113" customWidth="1"/>
    <col min="8" max="9" width="17" style="88" customWidth="1"/>
    <col min="10" max="16384" width="9.140625" style="86"/>
  </cols>
  <sheetData>
    <row r="1" spans="1:19" s="87" customFormat="1" ht="45" customHeight="1" x14ac:dyDescent="0.35">
      <c r="A1" s="273" t="s">
        <v>340</v>
      </c>
      <c r="B1" s="273"/>
      <c r="C1" s="273"/>
      <c r="D1" s="273"/>
      <c r="E1" s="273"/>
      <c r="F1" s="273"/>
      <c r="G1" s="273"/>
      <c r="H1" s="88"/>
      <c r="I1" s="88"/>
      <c r="J1" s="86"/>
      <c r="K1" s="86"/>
      <c r="L1" s="86"/>
      <c r="M1" s="86"/>
      <c r="N1" s="86"/>
      <c r="O1" s="86"/>
      <c r="P1" s="86"/>
      <c r="Q1" s="86"/>
      <c r="R1" s="86"/>
      <c r="S1" s="86"/>
    </row>
    <row r="2" spans="1:19" s="87" customFormat="1" ht="45" customHeight="1" x14ac:dyDescent="0.35">
      <c r="A2" s="273" t="s">
        <v>351</v>
      </c>
      <c r="B2" s="273"/>
      <c r="C2" s="273"/>
      <c r="D2" s="273"/>
      <c r="E2" s="273"/>
      <c r="F2" s="273"/>
      <c r="G2" s="273"/>
    </row>
    <row r="3" spans="1:19" s="87" customFormat="1" ht="21" customHeight="1" thickBot="1" x14ac:dyDescent="0.4">
      <c r="A3" s="89"/>
      <c r="B3" s="89"/>
      <c r="C3" s="89"/>
      <c r="D3" s="89"/>
      <c r="E3" s="89"/>
      <c r="F3" s="89"/>
      <c r="G3" s="90"/>
      <c r="H3" s="88"/>
      <c r="I3" s="88"/>
    </row>
    <row r="4" spans="1:19" s="87" customFormat="1" ht="45" customHeight="1" thickBot="1" x14ac:dyDescent="0.4">
      <c r="A4" s="240" t="s">
        <v>41</v>
      </c>
      <c r="B4" s="241"/>
      <c r="C4" s="241"/>
      <c r="D4" s="241"/>
      <c r="E4" s="241"/>
      <c r="F4" s="242"/>
      <c r="G4" s="243"/>
      <c r="H4" s="114"/>
      <c r="I4" s="207" t="s">
        <v>346</v>
      </c>
      <c r="J4" s="189"/>
      <c r="K4" s="189"/>
      <c r="L4" s="189"/>
      <c r="M4" s="189"/>
      <c r="N4" s="189"/>
      <c r="O4" s="189"/>
      <c r="P4" s="189"/>
      <c r="Q4" s="189"/>
      <c r="R4" s="190"/>
    </row>
    <row r="5" spans="1:19" s="87" customFormat="1" ht="54.75" customHeight="1" x14ac:dyDescent="0.35">
      <c r="A5" s="91" t="s">
        <v>14</v>
      </c>
      <c r="B5" s="244" t="s">
        <v>39</v>
      </c>
      <c r="C5" s="245"/>
      <c r="D5" s="184" t="s">
        <v>344</v>
      </c>
      <c r="E5" s="184" t="s">
        <v>343</v>
      </c>
      <c r="F5" s="92" t="s">
        <v>342</v>
      </c>
      <c r="G5" s="177" t="s">
        <v>341</v>
      </c>
      <c r="H5" s="114"/>
      <c r="I5" s="274" t="s">
        <v>345</v>
      </c>
      <c r="J5" s="275"/>
      <c r="K5" s="275"/>
      <c r="L5" s="275"/>
      <c r="M5" s="275"/>
      <c r="N5" s="275"/>
      <c r="O5" s="275"/>
      <c r="P5" s="275"/>
      <c r="Q5" s="275"/>
      <c r="R5" s="276"/>
      <c r="S5" s="185"/>
    </row>
    <row r="6" spans="1:19" s="87" customFormat="1" ht="30.75" customHeight="1" x14ac:dyDescent="0.35">
      <c r="A6" s="246" t="s">
        <v>191</v>
      </c>
      <c r="B6" s="93" t="s">
        <v>126</v>
      </c>
      <c r="C6" s="248" t="s">
        <v>55</v>
      </c>
      <c r="D6" s="178" t="s">
        <v>376</v>
      </c>
      <c r="E6" s="235" t="s">
        <v>376</v>
      </c>
      <c r="F6" s="254">
        <v>0.2</v>
      </c>
      <c r="G6" s="239">
        <f>40/167</f>
        <v>0.23952095808383234</v>
      </c>
      <c r="H6" s="281"/>
      <c r="I6" s="274"/>
      <c r="J6" s="275"/>
      <c r="K6" s="275"/>
      <c r="L6" s="275"/>
      <c r="M6" s="275"/>
      <c r="N6" s="275"/>
      <c r="O6" s="275"/>
      <c r="P6" s="275"/>
      <c r="Q6" s="275"/>
      <c r="R6" s="276"/>
      <c r="S6" s="186"/>
    </row>
    <row r="7" spans="1:19" s="87" customFormat="1" ht="30.75" customHeight="1" thickBot="1" x14ac:dyDescent="0.4">
      <c r="A7" s="247"/>
      <c r="B7" s="94" t="s">
        <v>127</v>
      </c>
      <c r="C7" s="249"/>
      <c r="D7" s="179"/>
      <c r="E7" s="235"/>
      <c r="F7" s="254"/>
      <c r="G7" s="239"/>
      <c r="H7" s="281"/>
      <c r="I7" s="277"/>
      <c r="J7" s="278"/>
      <c r="K7" s="278"/>
      <c r="L7" s="278"/>
      <c r="M7" s="278"/>
      <c r="N7" s="278"/>
      <c r="O7" s="278"/>
      <c r="P7" s="278"/>
      <c r="Q7" s="278"/>
      <c r="R7" s="279"/>
      <c r="S7" s="186"/>
    </row>
    <row r="8" spans="1:19" s="87" customFormat="1" ht="24" customHeight="1" x14ac:dyDescent="0.35">
      <c r="A8" s="95"/>
      <c r="B8" s="96"/>
      <c r="C8" s="96"/>
      <c r="D8" s="96"/>
      <c r="E8" s="96"/>
      <c r="F8" s="96"/>
      <c r="G8" s="97"/>
      <c r="H8" s="114"/>
      <c r="I8" s="114"/>
      <c r="J8" s="86"/>
      <c r="K8" s="86"/>
      <c r="L8" s="86"/>
      <c r="M8" s="86"/>
      <c r="N8" s="86"/>
      <c r="O8" s="86"/>
      <c r="P8" s="86"/>
      <c r="Q8" s="86"/>
      <c r="R8" s="86"/>
      <c r="S8" s="86"/>
    </row>
    <row r="9" spans="1:19" s="87" customFormat="1" ht="45" customHeight="1" x14ac:dyDescent="0.35">
      <c r="A9" s="251" t="s">
        <v>40</v>
      </c>
      <c r="B9" s="251"/>
      <c r="C9" s="251"/>
      <c r="D9" s="251"/>
      <c r="E9" s="251"/>
      <c r="F9" s="251"/>
      <c r="G9" s="251"/>
      <c r="H9" s="114"/>
      <c r="I9" s="114"/>
      <c r="J9" s="86"/>
      <c r="K9" s="86"/>
      <c r="L9" s="86"/>
      <c r="M9" s="86"/>
      <c r="N9" s="86"/>
      <c r="O9" s="86"/>
      <c r="P9" s="86"/>
      <c r="Q9" s="86"/>
      <c r="R9" s="86"/>
      <c r="S9" s="86"/>
    </row>
    <row r="10" spans="1:19" s="87" customFormat="1" ht="45" customHeight="1" x14ac:dyDescent="0.35">
      <c r="A10" s="98" t="s">
        <v>15</v>
      </c>
      <c r="B10" s="252" t="s">
        <v>39</v>
      </c>
      <c r="C10" s="252"/>
      <c r="D10" s="184" t="s">
        <v>344</v>
      </c>
      <c r="E10" s="184" t="s">
        <v>343</v>
      </c>
      <c r="F10" s="177" t="s">
        <v>342</v>
      </c>
      <c r="G10" s="177" t="s">
        <v>341</v>
      </c>
      <c r="H10" s="114"/>
      <c r="I10" s="114"/>
      <c r="J10" s="86"/>
      <c r="K10" s="86"/>
      <c r="L10" s="86"/>
      <c r="M10" s="86"/>
      <c r="N10" s="86"/>
      <c r="O10" s="86"/>
      <c r="P10" s="86"/>
      <c r="Q10" s="86"/>
      <c r="R10" s="86"/>
      <c r="S10" s="86"/>
    </row>
    <row r="11" spans="1:19" s="87" customFormat="1" ht="34.5" customHeight="1" x14ac:dyDescent="0.35">
      <c r="A11" s="233" t="s">
        <v>192</v>
      </c>
      <c r="B11" s="99" t="s">
        <v>128</v>
      </c>
      <c r="C11" s="238" t="s">
        <v>55</v>
      </c>
      <c r="D11" s="253">
        <v>1.3306</v>
      </c>
      <c r="E11" s="253">
        <v>1.1125</v>
      </c>
      <c r="F11" s="254">
        <v>1</v>
      </c>
      <c r="G11" s="239">
        <f>923/720</f>
        <v>1.2819444444444446</v>
      </c>
      <c r="H11" s="231"/>
      <c r="I11" s="231"/>
      <c r="J11" s="86"/>
      <c r="K11" s="86"/>
      <c r="L11" s="86"/>
      <c r="M11" s="86"/>
      <c r="N11" s="86"/>
      <c r="O11" s="86"/>
      <c r="P11" s="86"/>
      <c r="Q11" s="86"/>
      <c r="R11" s="86"/>
      <c r="S11" s="86"/>
    </row>
    <row r="12" spans="1:19" s="87" customFormat="1" ht="34.5" customHeight="1" x14ac:dyDescent="0.35">
      <c r="A12" s="233"/>
      <c r="B12" s="100" t="s">
        <v>129</v>
      </c>
      <c r="C12" s="238"/>
      <c r="D12" s="235"/>
      <c r="E12" s="235"/>
      <c r="F12" s="254"/>
      <c r="G12" s="239"/>
      <c r="H12" s="231"/>
      <c r="I12" s="231"/>
      <c r="J12" s="86"/>
      <c r="K12" s="86"/>
      <c r="L12" s="86"/>
      <c r="M12" s="86"/>
      <c r="N12" s="86"/>
      <c r="O12" s="86"/>
      <c r="P12" s="86"/>
      <c r="Q12" s="86"/>
      <c r="R12" s="86"/>
      <c r="S12" s="86"/>
    </row>
    <row r="13" spans="1:19" s="87" customFormat="1" ht="34.5" customHeight="1" x14ac:dyDescent="0.35">
      <c r="A13" s="233" t="s">
        <v>193</v>
      </c>
      <c r="B13" s="99" t="s">
        <v>130</v>
      </c>
      <c r="C13" s="238" t="s">
        <v>55</v>
      </c>
      <c r="D13" s="235" t="s">
        <v>376</v>
      </c>
      <c r="E13" s="235" t="s">
        <v>376</v>
      </c>
      <c r="F13" s="254">
        <v>0.5</v>
      </c>
      <c r="G13" s="250">
        <f>775/923</f>
        <v>0.83965330444203679</v>
      </c>
      <c r="H13" s="231"/>
      <c r="I13" s="231"/>
      <c r="J13" s="86"/>
      <c r="K13" s="86"/>
      <c r="L13" s="86"/>
      <c r="M13" s="86"/>
      <c r="N13" s="86"/>
      <c r="O13" s="86"/>
      <c r="P13" s="86"/>
      <c r="Q13" s="86"/>
      <c r="R13" s="86"/>
      <c r="S13" s="86"/>
    </row>
    <row r="14" spans="1:19" s="87" customFormat="1" ht="34.5" customHeight="1" x14ac:dyDescent="0.35">
      <c r="A14" s="233"/>
      <c r="B14" s="100" t="s">
        <v>131</v>
      </c>
      <c r="C14" s="238"/>
      <c r="D14" s="235"/>
      <c r="E14" s="235"/>
      <c r="F14" s="254"/>
      <c r="G14" s="250"/>
      <c r="H14" s="231"/>
      <c r="I14" s="231"/>
      <c r="J14" s="86"/>
      <c r="K14" s="86"/>
      <c r="L14" s="86"/>
      <c r="M14" s="86"/>
      <c r="N14" s="86"/>
      <c r="O14" s="86"/>
      <c r="P14" s="86"/>
      <c r="Q14" s="86"/>
      <c r="R14" s="86"/>
      <c r="S14" s="86"/>
    </row>
    <row r="15" spans="1:19" s="87" customFormat="1" ht="34.5" customHeight="1" x14ac:dyDescent="0.35">
      <c r="A15" s="233" t="s">
        <v>194</v>
      </c>
      <c r="B15" s="234" t="s">
        <v>132</v>
      </c>
      <c r="C15" s="234"/>
      <c r="D15" s="280">
        <v>0.46</v>
      </c>
      <c r="E15" s="235">
        <v>0.38</v>
      </c>
      <c r="F15" s="235">
        <v>0.31</v>
      </c>
      <c r="G15" s="236">
        <f>871.1666/2666</f>
        <v>0.32676916729182298</v>
      </c>
      <c r="H15" s="230"/>
      <c r="I15" s="230"/>
      <c r="J15" s="86"/>
      <c r="K15" s="86"/>
      <c r="L15" s="86"/>
      <c r="M15" s="86"/>
      <c r="N15" s="86"/>
      <c r="O15" s="86"/>
      <c r="P15" s="86"/>
      <c r="Q15" s="86"/>
      <c r="R15" s="86"/>
      <c r="S15" s="86"/>
    </row>
    <row r="16" spans="1:19" s="87" customFormat="1" ht="34.5" customHeight="1" x14ac:dyDescent="0.35">
      <c r="A16" s="233"/>
      <c r="B16" s="237" t="s">
        <v>133</v>
      </c>
      <c r="C16" s="237"/>
      <c r="D16" s="235"/>
      <c r="E16" s="235"/>
      <c r="F16" s="235"/>
      <c r="G16" s="236"/>
      <c r="H16" s="230"/>
      <c r="I16" s="230"/>
      <c r="J16" s="86"/>
      <c r="K16" s="86"/>
      <c r="L16" s="86"/>
      <c r="M16" s="86"/>
      <c r="N16" s="86"/>
      <c r="O16" s="86"/>
      <c r="P16" s="86"/>
      <c r="Q16" s="86"/>
      <c r="R16" s="86"/>
      <c r="S16" s="86"/>
    </row>
    <row r="17" spans="1:19" s="87" customFormat="1" ht="34.5" customHeight="1" x14ac:dyDescent="0.35">
      <c r="A17" s="233" t="s">
        <v>195</v>
      </c>
      <c r="B17" s="99" t="s">
        <v>134</v>
      </c>
      <c r="C17" s="238" t="s">
        <v>55</v>
      </c>
      <c r="D17" s="235" t="s">
        <v>376</v>
      </c>
      <c r="E17" s="235" t="s">
        <v>376</v>
      </c>
      <c r="F17" s="254">
        <v>0.8</v>
      </c>
      <c r="G17" s="239">
        <f>56/56</f>
        <v>1</v>
      </c>
      <c r="H17" s="231"/>
      <c r="I17" s="231"/>
      <c r="J17" s="86"/>
      <c r="K17" s="86"/>
      <c r="L17" s="86"/>
      <c r="M17" s="86"/>
      <c r="N17" s="86"/>
      <c r="O17" s="86"/>
      <c r="P17" s="86"/>
      <c r="Q17" s="86"/>
      <c r="R17" s="86"/>
      <c r="S17" s="86"/>
    </row>
    <row r="18" spans="1:19" s="87" customFormat="1" ht="34.5" customHeight="1" x14ac:dyDescent="0.35">
      <c r="A18" s="233"/>
      <c r="B18" s="100" t="s">
        <v>135</v>
      </c>
      <c r="C18" s="238"/>
      <c r="D18" s="235"/>
      <c r="E18" s="235"/>
      <c r="F18" s="254"/>
      <c r="G18" s="239"/>
      <c r="H18" s="231"/>
      <c r="I18" s="231"/>
      <c r="J18" s="86"/>
      <c r="K18" s="86"/>
      <c r="L18" s="86"/>
      <c r="M18" s="86"/>
      <c r="N18" s="86"/>
      <c r="O18" s="86"/>
      <c r="P18" s="86"/>
      <c r="Q18" s="86"/>
      <c r="R18" s="86"/>
      <c r="S18" s="86"/>
    </row>
    <row r="19" spans="1:19" s="87" customFormat="1" ht="34.5" customHeight="1" x14ac:dyDescent="0.35">
      <c r="A19" s="233" t="s">
        <v>196</v>
      </c>
      <c r="B19" s="99" t="s">
        <v>136</v>
      </c>
      <c r="C19" s="238" t="s">
        <v>55</v>
      </c>
      <c r="D19" s="235" t="s">
        <v>376</v>
      </c>
      <c r="E19" s="235" t="s">
        <v>376</v>
      </c>
      <c r="F19" s="254">
        <v>0.8</v>
      </c>
      <c r="G19" s="239">
        <f>243/292</f>
        <v>0.8321917808219178</v>
      </c>
      <c r="H19" s="231"/>
      <c r="I19" s="231"/>
      <c r="J19" s="86"/>
      <c r="K19" s="86"/>
      <c r="L19" s="86"/>
      <c r="M19" s="86"/>
      <c r="N19" s="86"/>
      <c r="O19" s="86"/>
      <c r="P19" s="86"/>
      <c r="Q19" s="86"/>
      <c r="R19" s="86"/>
      <c r="S19" s="86"/>
    </row>
    <row r="20" spans="1:19" s="87" customFormat="1" ht="34.5" customHeight="1" x14ac:dyDescent="0.35">
      <c r="A20" s="233"/>
      <c r="B20" s="100" t="s">
        <v>137</v>
      </c>
      <c r="C20" s="238"/>
      <c r="D20" s="235"/>
      <c r="E20" s="235"/>
      <c r="F20" s="254"/>
      <c r="G20" s="239"/>
      <c r="H20" s="231"/>
      <c r="I20" s="231"/>
      <c r="J20" s="86"/>
      <c r="K20" s="86"/>
      <c r="L20" s="86"/>
      <c r="M20" s="86"/>
      <c r="N20" s="86"/>
      <c r="O20" s="86"/>
      <c r="P20" s="86"/>
      <c r="Q20" s="86"/>
      <c r="R20" s="86"/>
      <c r="S20" s="86"/>
    </row>
    <row r="21" spans="1:19" s="87" customFormat="1" ht="34.5" customHeight="1" x14ac:dyDescent="0.35">
      <c r="A21" s="233" t="s">
        <v>197</v>
      </c>
      <c r="B21" s="99" t="s">
        <v>138</v>
      </c>
      <c r="C21" s="238" t="s">
        <v>55</v>
      </c>
      <c r="D21" s="235" t="s">
        <v>376</v>
      </c>
      <c r="E21" s="235" t="s">
        <v>376</v>
      </c>
      <c r="F21" s="254">
        <v>1</v>
      </c>
      <c r="G21" s="239">
        <f>2/2</f>
        <v>1</v>
      </c>
      <c r="H21" s="231"/>
      <c r="I21" s="231"/>
      <c r="J21" s="86"/>
      <c r="K21" s="86"/>
      <c r="L21" s="86"/>
      <c r="M21" s="86"/>
      <c r="N21" s="86"/>
      <c r="O21" s="86"/>
      <c r="P21" s="86"/>
      <c r="Q21" s="86"/>
      <c r="R21" s="86"/>
      <c r="S21" s="86"/>
    </row>
    <row r="22" spans="1:19" s="87" customFormat="1" ht="34.5" customHeight="1" x14ac:dyDescent="0.35">
      <c r="A22" s="233"/>
      <c r="B22" s="100" t="s">
        <v>139</v>
      </c>
      <c r="C22" s="238"/>
      <c r="D22" s="235"/>
      <c r="E22" s="235"/>
      <c r="F22" s="254"/>
      <c r="G22" s="239"/>
      <c r="H22" s="231"/>
      <c r="I22" s="231"/>
      <c r="J22" s="86"/>
      <c r="K22" s="86"/>
      <c r="L22" s="86"/>
      <c r="M22" s="86"/>
      <c r="N22" s="86"/>
      <c r="O22" s="86"/>
      <c r="P22" s="86"/>
      <c r="Q22" s="86"/>
      <c r="R22" s="86"/>
      <c r="S22" s="86"/>
    </row>
    <row r="23" spans="1:19" s="87" customFormat="1" ht="34.5" customHeight="1" x14ac:dyDescent="0.35">
      <c r="A23" s="233" t="s">
        <v>198</v>
      </c>
      <c r="B23" s="99" t="s">
        <v>140</v>
      </c>
      <c r="C23" s="238" t="s">
        <v>55</v>
      </c>
      <c r="D23" s="235" t="s">
        <v>376</v>
      </c>
      <c r="E23" s="235" t="s">
        <v>376</v>
      </c>
      <c r="F23" s="254">
        <v>0.8</v>
      </c>
      <c r="G23" s="239" t="s">
        <v>376</v>
      </c>
      <c r="H23" s="231"/>
      <c r="I23" s="231"/>
      <c r="J23" s="86"/>
      <c r="K23" s="86"/>
      <c r="L23" s="86"/>
      <c r="M23" s="86"/>
      <c r="N23" s="86"/>
      <c r="O23" s="86"/>
      <c r="P23" s="86"/>
      <c r="Q23" s="86"/>
      <c r="R23" s="86"/>
      <c r="S23" s="86"/>
    </row>
    <row r="24" spans="1:19" s="87" customFormat="1" ht="34.5" customHeight="1" x14ac:dyDescent="0.35">
      <c r="A24" s="233"/>
      <c r="B24" s="100" t="s">
        <v>141</v>
      </c>
      <c r="C24" s="238"/>
      <c r="D24" s="235"/>
      <c r="E24" s="235"/>
      <c r="F24" s="254"/>
      <c r="G24" s="239"/>
      <c r="H24" s="231"/>
      <c r="I24" s="231"/>
      <c r="J24" s="86"/>
      <c r="K24" s="86"/>
      <c r="L24" s="86"/>
      <c r="M24" s="86"/>
      <c r="N24" s="86"/>
      <c r="O24" s="86"/>
      <c r="P24" s="86"/>
      <c r="Q24" s="86"/>
      <c r="R24" s="86"/>
      <c r="S24" s="86"/>
    </row>
    <row r="25" spans="1:19" s="87" customFormat="1" ht="34.5" customHeight="1" x14ac:dyDescent="0.35">
      <c r="A25" s="233" t="s">
        <v>199</v>
      </c>
      <c r="B25" s="99" t="s">
        <v>142</v>
      </c>
      <c r="C25" s="238" t="s">
        <v>55</v>
      </c>
      <c r="D25" s="235" t="s">
        <v>376</v>
      </c>
      <c r="E25" s="235" t="s">
        <v>376</v>
      </c>
      <c r="F25" s="235" t="s">
        <v>376</v>
      </c>
      <c r="G25" s="255">
        <f>459/775</f>
        <v>0.59225806451612906</v>
      </c>
      <c r="H25" s="231"/>
      <c r="I25" s="231"/>
      <c r="J25" s="86"/>
      <c r="K25" s="86"/>
      <c r="L25" s="86"/>
      <c r="M25" s="86"/>
      <c r="N25" s="86"/>
      <c r="O25" s="86"/>
      <c r="P25" s="86"/>
      <c r="Q25" s="86"/>
      <c r="R25" s="86"/>
      <c r="S25" s="86"/>
    </row>
    <row r="26" spans="1:19" s="87" customFormat="1" ht="34.5" customHeight="1" x14ac:dyDescent="0.35">
      <c r="A26" s="233"/>
      <c r="B26" s="100" t="s">
        <v>130</v>
      </c>
      <c r="C26" s="238"/>
      <c r="D26" s="235"/>
      <c r="E26" s="235"/>
      <c r="F26" s="235"/>
      <c r="G26" s="255"/>
      <c r="H26" s="231"/>
      <c r="I26" s="231"/>
      <c r="J26" s="86"/>
      <c r="K26" s="86"/>
      <c r="L26" s="86"/>
      <c r="M26" s="86"/>
      <c r="N26" s="86"/>
      <c r="O26" s="86"/>
      <c r="P26" s="86"/>
      <c r="Q26" s="86"/>
      <c r="R26" s="86"/>
      <c r="S26" s="86"/>
    </row>
    <row r="27" spans="1:19" s="87" customFormat="1" ht="34.5" customHeight="1" x14ac:dyDescent="0.35">
      <c r="A27" s="233" t="s">
        <v>200</v>
      </c>
      <c r="B27" s="99" t="s">
        <v>143</v>
      </c>
      <c r="C27" s="238" t="s">
        <v>55</v>
      </c>
      <c r="D27" s="235" t="s">
        <v>376</v>
      </c>
      <c r="E27" s="235" t="s">
        <v>376</v>
      </c>
      <c r="F27" s="235" t="s">
        <v>376</v>
      </c>
      <c r="G27" s="255" t="s">
        <v>376</v>
      </c>
      <c r="H27" s="231"/>
      <c r="I27" s="231"/>
      <c r="J27" s="86"/>
      <c r="K27" s="86"/>
      <c r="L27" s="86"/>
      <c r="M27" s="86"/>
      <c r="N27" s="86"/>
      <c r="O27" s="86"/>
      <c r="P27" s="86"/>
      <c r="Q27" s="86"/>
      <c r="R27" s="86"/>
      <c r="S27" s="86"/>
    </row>
    <row r="28" spans="1:19" s="87" customFormat="1" ht="34.5" customHeight="1" x14ac:dyDescent="0.35">
      <c r="A28" s="233"/>
      <c r="B28" s="100" t="s">
        <v>131</v>
      </c>
      <c r="C28" s="238"/>
      <c r="D28" s="235"/>
      <c r="E28" s="235"/>
      <c r="F28" s="235"/>
      <c r="G28" s="255"/>
      <c r="H28" s="231"/>
      <c r="I28" s="231"/>
      <c r="J28" s="86"/>
      <c r="K28" s="86"/>
      <c r="L28" s="86"/>
      <c r="M28" s="86"/>
      <c r="N28" s="86"/>
      <c r="O28" s="86"/>
      <c r="P28" s="86"/>
      <c r="Q28" s="86"/>
      <c r="R28" s="86"/>
      <c r="S28" s="86"/>
    </row>
    <row r="29" spans="1:19" s="87" customFormat="1" ht="34.5" customHeight="1" x14ac:dyDescent="0.35">
      <c r="A29" s="233" t="s">
        <v>201</v>
      </c>
      <c r="B29" s="99" t="s">
        <v>144</v>
      </c>
      <c r="C29" s="238" t="s">
        <v>55</v>
      </c>
      <c r="D29" s="235" t="s">
        <v>376</v>
      </c>
      <c r="E29" s="235" t="s">
        <v>376</v>
      </c>
      <c r="F29" s="235" t="s">
        <v>376</v>
      </c>
      <c r="G29" s="255" t="s">
        <v>376</v>
      </c>
      <c r="H29" s="231"/>
      <c r="I29" s="231"/>
      <c r="J29" s="86"/>
      <c r="K29" s="86"/>
      <c r="L29" s="86"/>
      <c r="M29" s="86"/>
      <c r="N29" s="86"/>
      <c r="O29" s="86"/>
      <c r="P29" s="86"/>
      <c r="Q29" s="86"/>
      <c r="R29" s="86"/>
      <c r="S29" s="86"/>
    </row>
    <row r="30" spans="1:19" s="87" customFormat="1" ht="34.5" customHeight="1" x14ac:dyDescent="0.35">
      <c r="A30" s="233"/>
      <c r="B30" s="100" t="s">
        <v>145</v>
      </c>
      <c r="C30" s="238"/>
      <c r="D30" s="235"/>
      <c r="E30" s="235"/>
      <c r="F30" s="235"/>
      <c r="G30" s="255"/>
      <c r="H30" s="231"/>
      <c r="I30" s="231"/>
      <c r="J30" s="86"/>
      <c r="K30" s="86"/>
      <c r="L30" s="86"/>
      <c r="M30" s="86"/>
      <c r="N30" s="86"/>
      <c r="O30" s="86"/>
      <c r="P30" s="86"/>
      <c r="Q30" s="86"/>
      <c r="R30" s="86"/>
      <c r="S30" s="86"/>
    </row>
    <row r="31" spans="1:19" s="87" customFormat="1" ht="45" customHeight="1" x14ac:dyDescent="0.35">
      <c r="A31" s="98" t="s">
        <v>16</v>
      </c>
      <c r="B31" s="252" t="s">
        <v>39</v>
      </c>
      <c r="C31" s="252"/>
      <c r="D31" s="184" t="s">
        <v>344</v>
      </c>
      <c r="E31" s="184" t="s">
        <v>343</v>
      </c>
      <c r="F31" s="177" t="s">
        <v>342</v>
      </c>
      <c r="G31" s="177" t="s">
        <v>341</v>
      </c>
      <c r="H31" s="115"/>
      <c r="I31" s="115"/>
      <c r="J31" s="86"/>
      <c r="K31" s="86"/>
      <c r="L31" s="86"/>
      <c r="M31" s="86"/>
      <c r="N31" s="86"/>
      <c r="O31" s="86"/>
      <c r="P31" s="86"/>
      <c r="Q31" s="86"/>
      <c r="R31" s="86"/>
      <c r="S31" s="86"/>
    </row>
    <row r="32" spans="1:19" s="87" customFormat="1" ht="34.5" customHeight="1" x14ac:dyDescent="0.35">
      <c r="A32" s="233" t="s">
        <v>202</v>
      </c>
      <c r="B32" s="99" t="s">
        <v>187</v>
      </c>
      <c r="C32" s="238" t="s">
        <v>55</v>
      </c>
      <c r="D32" s="253">
        <v>0.99099999999999999</v>
      </c>
      <c r="E32" s="253">
        <v>0.99870000000000003</v>
      </c>
      <c r="F32" s="254">
        <v>1</v>
      </c>
      <c r="G32" s="239">
        <f>1222/1222</f>
        <v>1</v>
      </c>
      <c r="H32" s="231"/>
      <c r="I32" s="231"/>
      <c r="J32" s="86"/>
      <c r="K32" s="86"/>
      <c r="L32" s="86"/>
      <c r="M32" s="86"/>
      <c r="N32" s="86"/>
      <c r="O32" s="86"/>
      <c r="P32" s="86"/>
      <c r="Q32" s="86"/>
      <c r="R32" s="86"/>
      <c r="S32" s="86"/>
    </row>
    <row r="33" spans="1:19" s="87" customFormat="1" ht="34.5" customHeight="1" x14ac:dyDescent="0.35">
      <c r="A33" s="233"/>
      <c r="B33" s="100" t="s">
        <v>188</v>
      </c>
      <c r="C33" s="238"/>
      <c r="D33" s="235"/>
      <c r="E33" s="235"/>
      <c r="F33" s="254"/>
      <c r="G33" s="239"/>
      <c r="H33" s="231"/>
      <c r="I33" s="231"/>
      <c r="J33" s="86"/>
      <c r="K33" s="86"/>
      <c r="L33" s="86"/>
      <c r="M33" s="86"/>
      <c r="N33" s="86"/>
      <c r="O33" s="86"/>
      <c r="P33" s="86"/>
      <c r="Q33" s="86"/>
      <c r="R33" s="86"/>
      <c r="S33" s="86"/>
    </row>
    <row r="34" spans="1:19" s="87" customFormat="1" ht="34.5" customHeight="1" x14ac:dyDescent="0.35">
      <c r="A34" s="233" t="s">
        <v>203</v>
      </c>
      <c r="B34" s="99" t="s">
        <v>56</v>
      </c>
      <c r="C34" s="238" t="s">
        <v>55</v>
      </c>
      <c r="D34" s="235" t="s">
        <v>376</v>
      </c>
      <c r="E34" s="235" t="s">
        <v>376</v>
      </c>
      <c r="F34" s="235" t="s">
        <v>376</v>
      </c>
      <c r="G34" s="255" t="s">
        <v>376</v>
      </c>
      <c r="H34" s="231"/>
      <c r="I34" s="231"/>
      <c r="J34" s="86"/>
      <c r="K34" s="86"/>
      <c r="L34" s="86"/>
      <c r="M34" s="86"/>
      <c r="N34" s="86"/>
      <c r="O34" s="86"/>
      <c r="P34" s="86"/>
      <c r="Q34" s="86"/>
      <c r="R34" s="86"/>
      <c r="S34" s="86"/>
    </row>
    <row r="35" spans="1:19" s="87" customFormat="1" ht="34.5" customHeight="1" x14ac:dyDescent="0.35">
      <c r="A35" s="233"/>
      <c r="B35" s="100" t="s">
        <v>57</v>
      </c>
      <c r="C35" s="238"/>
      <c r="D35" s="235"/>
      <c r="E35" s="235"/>
      <c r="F35" s="235"/>
      <c r="G35" s="255"/>
      <c r="H35" s="231"/>
      <c r="I35" s="231"/>
      <c r="J35" s="86"/>
      <c r="K35" s="86"/>
      <c r="L35" s="86"/>
      <c r="M35" s="86"/>
      <c r="N35" s="86"/>
      <c r="O35" s="86"/>
      <c r="P35" s="86"/>
      <c r="Q35" s="86"/>
      <c r="R35" s="86"/>
      <c r="S35" s="86"/>
    </row>
    <row r="36" spans="1:19" s="87" customFormat="1" ht="34.5" customHeight="1" x14ac:dyDescent="0.35">
      <c r="A36" s="233" t="s">
        <v>204</v>
      </c>
      <c r="B36" s="99" t="s">
        <v>146</v>
      </c>
      <c r="C36" s="238" t="s">
        <v>55</v>
      </c>
      <c r="D36" s="235" t="s">
        <v>376</v>
      </c>
      <c r="E36" s="235" t="s">
        <v>376</v>
      </c>
      <c r="F36" s="235" t="s">
        <v>376</v>
      </c>
      <c r="G36" s="255" t="s">
        <v>376</v>
      </c>
      <c r="H36" s="231"/>
      <c r="I36" s="231"/>
      <c r="J36" s="86"/>
      <c r="K36" s="86"/>
      <c r="L36" s="86"/>
      <c r="M36" s="86"/>
      <c r="N36" s="86"/>
      <c r="O36" s="86"/>
      <c r="P36" s="86"/>
      <c r="Q36" s="86"/>
      <c r="R36" s="86"/>
      <c r="S36" s="86"/>
    </row>
    <row r="37" spans="1:19" s="87" customFormat="1" ht="34.5" customHeight="1" x14ac:dyDescent="0.35">
      <c r="A37" s="233"/>
      <c r="B37" s="100" t="s">
        <v>147</v>
      </c>
      <c r="C37" s="238"/>
      <c r="D37" s="235"/>
      <c r="E37" s="235"/>
      <c r="F37" s="235"/>
      <c r="G37" s="255"/>
      <c r="H37" s="231"/>
      <c r="I37" s="231"/>
      <c r="J37" s="86"/>
      <c r="K37" s="86"/>
      <c r="L37" s="86"/>
      <c r="M37" s="86"/>
      <c r="N37" s="86"/>
      <c r="O37" s="86"/>
      <c r="P37" s="86"/>
      <c r="Q37" s="86"/>
      <c r="R37" s="86"/>
      <c r="S37" s="86"/>
    </row>
    <row r="38" spans="1:19" s="87" customFormat="1" ht="45" customHeight="1" x14ac:dyDescent="0.35">
      <c r="A38" s="98" t="s">
        <v>17</v>
      </c>
      <c r="B38" s="252" t="s">
        <v>39</v>
      </c>
      <c r="C38" s="252"/>
      <c r="D38" s="184" t="s">
        <v>344</v>
      </c>
      <c r="E38" s="184" t="s">
        <v>343</v>
      </c>
      <c r="F38" s="177" t="s">
        <v>342</v>
      </c>
      <c r="G38" s="177" t="s">
        <v>341</v>
      </c>
      <c r="H38" s="115"/>
      <c r="I38" s="115"/>
      <c r="J38" s="86"/>
      <c r="K38" s="86"/>
      <c r="L38" s="86"/>
      <c r="M38" s="86"/>
      <c r="N38" s="86"/>
      <c r="O38" s="86"/>
      <c r="P38" s="86"/>
      <c r="Q38" s="86"/>
      <c r="R38" s="86"/>
      <c r="S38" s="86"/>
    </row>
    <row r="39" spans="1:19" s="87" customFormat="1" ht="34.5" customHeight="1" x14ac:dyDescent="0.35">
      <c r="A39" s="256" t="s">
        <v>205</v>
      </c>
      <c r="B39" s="101" t="s">
        <v>148</v>
      </c>
      <c r="C39" s="238" t="s">
        <v>55</v>
      </c>
      <c r="D39" s="235">
        <v>0</v>
      </c>
      <c r="E39" s="235">
        <v>0</v>
      </c>
      <c r="F39" s="254">
        <v>1</v>
      </c>
      <c r="G39" s="239">
        <f>0/'Quadro Geral'!G15</f>
        <v>0</v>
      </c>
      <c r="H39" s="231"/>
      <c r="I39" s="231"/>
      <c r="J39" s="86"/>
      <c r="K39" s="86"/>
      <c r="L39" s="86"/>
      <c r="M39" s="86"/>
      <c r="N39" s="86"/>
      <c r="O39" s="86"/>
      <c r="P39" s="86"/>
      <c r="Q39" s="86"/>
      <c r="R39" s="86"/>
      <c r="S39" s="86"/>
    </row>
    <row r="40" spans="1:19" s="87" customFormat="1" ht="34.5" customHeight="1" x14ac:dyDescent="0.35">
      <c r="A40" s="256"/>
      <c r="B40" s="102" t="s">
        <v>149</v>
      </c>
      <c r="C40" s="238"/>
      <c r="D40" s="235"/>
      <c r="E40" s="235"/>
      <c r="F40" s="254"/>
      <c r="G40" s="239"/>
      <c r="H40" s="231"/>
      <c r="I40" s="231"/>
      <c r="J40" s="86"/>
      <c r="K40" s="86"/>
      <c r="L40" s="86"/>
      <c r="M40" s="86"/>
      <c r="N40" s="86"/>
      <c r="O40" s="86"/>
      <c r="P40" s="86"/>
      <c r="Q40" s="86"/>
      <c r="R40" s="86"/>
      <c r="S40" s="86"/>
    </row>
    <row r="41" spans="1:19" s="87" customFormat="1" ht="34.5" customHeight="1" x14ac:dyDescent="0.35">
      <c r="A41" s="256" t="s">
        <v>206</v>
      </c>
      <c r="B41" s="101" t="s">
        <v>150</v>
      </c>
      <c r="C41" s="238" t="s">
        <v>55</v>
      </c>
      <c r="D41" s="235" t="s">
        <v>376</v>
      </c>
      <c r="E41" s="235" t="s">
        <v>376</v>
      </c>
      <c r="F41" s="235" t="s">
        <v>376</v>
      </c>
      <c r="G41" s="235" t="s">
        <v>376</v>
      </c>
      <c r="H41" s="231"/>
      <c r="I41" s="231"/>
      <c r="J41" s="86"/>
      <c r="K41" s="86"/>
      <c r="L41" s="86"/>
      <c r="M41" s="86"/>
      <c r="N41" s="86"/>
      <c r="O41" s="86"/>
      <c r="P41" s="86"/>
      <c r="Q41" s="86"/>
      <c r="R41" s="86"/>
      <c r="S41" s="86"/>
    </row>
    <row r="42" spans="1:19" s="87" customFormat="1" ht="34.5" customHeight="1" x14ac:dyDescent="0.35">
      <c r="A42" s="256"/>
      <c r="B42" s="102" t="s">
        <v>151</v>
      </c>
      <c r="C42" s="238"/>
      <c r="D42" s="235"/>
      <c r="E42" s="235"/>
      <c r="F42" s="235"/>
      <c r="G42" s="235"/>
      <c r="H42" s="231"/>
      <c r="I42" s="231"/>
      <c r="J42" s="86"/>
      <c r="K42" s="86"/>
      <c r="L42" s="86"/>
      <c r="M42" s="86"/>
      <c r="N42" s="86"/>
      <c r="O42" s="86"/>
      <c r="P42" s="86"/>
      <c r="Q42" s="86"/>
      <c r="R42" s="86"/>
      <c r="S42" s="86"/>
    </row>
    <row r="43" spans="1:19" s="87" customFormat="1" ht="34.5" customHeight="1" x14ac:dyDescent="0.35">
      <c r="A43" s="256" t="s">
        <v>207</v>
      </c>
      <c r="B43" s="257" t="s">
        <v>152</v>
      </c>
      <c r="C43" s="257"/>
      <c r="D43" s="235" t="s">
        <v>376</v>
      </c>
      <c r="E43" s="235" t="s">
        <v>376</v>
      </c>
      <c r="F43" s="235" t="s">
        <v>376</v>
      </c>
      <c r="G43" s="235" t="s">
        <v>376</v>
      </c>
      <c r="H43" s="232"/>
      <c r="I43" s="232"/>
      <c r="J43" s="86"/>
      <c r="K43" s="86"/>
      <c r="L43" s="86"/>
      <c r="M43" s="86"/>
      <c r="N43" s="86"/>
      <c r="O43" s="86"/>
      <c r="P43" s="86"/>
      <c r="Q43" s="86"/>
      <c r="R43" s="86"/>
      <c r="S43" s="86"/>
    </row>
    <row r="44" spans="1:19" s="87" customFormat="1" ht="34.5" customHeight="1" x14ac:dyDescent="0.35">
      <c r="A44" s="256"/>
      <c r="B44" s="258" t="s">
        <v>153</v>
      </c>
      <c r="C44" s="258"/>
      <c r="D44" s="235"/>
      <c r="E44" s="235"/>
      <c r="F44" s="235"/>
      <c r="G44" s="235"/>
      <c r="H44" s="232"/>
      <c r="I44" s="232"/>
      <c r="J44" s="86"/>
      <c r="K44" s="86"/>
      <c r="L44" s="86"/>
      <c r="M44" s="86"/>
      <c r="N44" s="86"/>
      <c r="O44" s="86"/>
      <c r="P44" s="86"/>
      <c r="Q44" s="86"/>
      <c r="R44" s="86"/>
      <c r="S44" s="86"/>
    </row>
    <row r="45" spans="1:19" s="87" customFormat="1" ht="34.5" customHeight="1" x14ac:dyDescent="0.35">
      <c r="A45" s="256" t="s">
        <v>208</v>
      </c>
      <c r="B45" s="101" t="s">
        <v>154</v>
      </c>
      <c r="C45" s="259" t="s">
        <v>55</v>
      </c>
      <c r="D45" s="235" t="s">
        <v>376</v>
      </c>
      <c r="E45" s="235" t="s">
        <v>376</v>
      </c>
      <c r="F45" s="235" t="s">
        <v>376</v>
      </c>
      <c r="G45" s="235" t="s">
        <v>376</v>
      </c>
      <c r="H45" s="231"/>
      <c r="I45" s="231"/>
      <c r="J45" s="86"/>
      <c r="K45" s="86"/>
      <c r="L45" s="86"/>
      <c r="M45" s="86"/>
      <c r="N45" s="86"/>
      <c r="O45" s="86"/>
      <c r="P45" s="86"/>
      <c r="Q45" s="86"/>
      <c r="R45" s="86"/>
      <c r="S45" s="86"/>
    </row>
    <row r="46" spans="1:19" ht="34.5" customHeight="1" x14ac:dyDescent="0.35">
      <c r="A46" s="256"/>
      <c r="B46" s="102" t="s">
        <v>155</v>
      </c>
      <c r="C46" s="259"/>
      <c r="D46" s="235"/>
      <c r="E46" s="235"/>
      <c r="F46" s="235"/>
      <c r="G46" s="235"/>
      <c r="H46" s="231"/>
      <c r="I46" s="231"/>
    </row>
    <row r="47" spans="1:19" s="87" customFormat="1" ht="45" customHeight="1" x14ac:dyDescent="0.35">
      <c r="A47" s="98" t="s">
        <v>18</v>
      </c>
      <c r="B47" s="252" t="s">
        <v>39</v>
      </c>
      <c r="C47" s="252"/>
      <c r="D47" s="184" t="s">
        <v>344</v>
      </c>
      <c r="E47" s="184" t="s">
        <v>343</v>
      </c>
      <c r="F47" s="177" t="s">
        <v>342</v>
      </c>
      <c r="G47" s="177" t="s">
        <v>341</v>
      </c>
      <c r="H47" s="115"/>
      <c r="I47" s="115"/>
      <c r="J47" s="86"/>
      <c r="K47" s="86"/>
      <c r="L47" s="86"/>
      <c r="M47" s="86"/>
      <c r="N47" s="86"/>
      <c r="O47" s="86"/>
      <c r="P47" s="86"/>
      <c r="Q47" s="86"/>
      <c r="R47" s="86"/>
      <c r="S47" s="86"/>
    </row>
    <row r="48" spans="1:19" ht="53.25" customHeight="1" x14ac:dyDescent="0.35">
      <c r="A48" s="103" t="s">
        <v>209</v>
      </c>
      <c r="B48" s="262" t="s">
        <v>156</v>
      </c>
      <c r="C48" s="262"/>
      <c r="D48" s="176" t="s">
        <v>376</v>
      </c>
      <c r="E48" s="183" t="s">
        <v>376</v>
      </c>
      <c r="F48" s="176">
        <v>5</v>
      </c>
      <c r="G48" s="221">
        <v>5</v>
      </c>
      <c r="H48" s="116"/>
      <c r="I48" s="117"/>
    </row>
    <row r="49" spans="1:19" s="87" customFormat="1" ht="45" customHeight="1" x14ac:dyDescent="0.35">
      <c r="A49" s="98" t="s">
        <v>19</v>
      </c>
      <c r="B49" s="252" t="s">
        <v>39</v>
      </c>
      <c r="C49" s="252"/>
      <c r="D49" s="184" t="s">
        <v>344</v>
      </c>
      <c r="E49" s="184" t="s">
        <v>343</v>
      </c>
      <c r="F49" s="177" t="s">
        <v>342</v>
      </c>
      <c r="G49" s="177" t="s">
        <v>341</v>
      </c>
      <c r="H49" s="115"/>
      <c r="I49" s="115"/>
      <c r="J49" s="86"/>
      <c r="K49" s="86"/>
      <c r="L49" s="86"/>
      <c r="M49" s="86"/>
      <c r="N49" s="86"/>
      <c r="O49" s="86"/>
      <c r="P49" s="86"/>
      <c r="Q49" s="86"/>
      <c r="R49" s="86"/>
      <c r="S49" s="86"/>
    </row>
    <row r="50" spans="1:19" ht="34.5" customHeight="1" x14ac:dyDescent="0.35">
      <c r="A50" s="256" t="s">
        <v>210</v>
      </c>
      <c r="B50" s="101" t="s">
        <v>157</v>
      </c>
      <c r="C50" s="259" t="s">
        <v>55</v>
      </c>
      <c r="D50" s="235" t="s">
        <v>376</v>
      </c>
      <c r="E50" s="235" t="s">
        <v>376</v>
      </c>
      <c r="F50" s="235" t="s">
        <v>376</v>
      </c>
      <c r="G50" s="235" t="s">
        <v>376</v>
      </c>
      <c r="H50" s="231"/>
      <c r="I50" s="231"/>
    </row>
    <row r="51" spans="1:19" ht="34.5" customHeight="1" x14ac:dyDescent="0.35">
      <c r="A51" s="256"/>
      <c r="B51" s="102" t="s">
        <v>127</v>
      </c>
      <c r="C51" s="259"/>
      <c r="D51" s="235"/>
      <c r="E51" s="235"/>
      <c r="F51" s="235"/>
      <c r="G51" s="235"/>
      <c r="H51" s="231"/>
      <c r="I51" s="231"/>
    </row>
    <row r="52" spans="1:19" ht="34.5" customHeight="1" x14ac:dyDescent="0.35">
      <c r="A52" s="256" t="s">
        <v>211</v>
      </c>
      <c r="B52" s="101" t="s">
        <v>156</v>
      </c>
      <c r="C52" s="259" t="s">
        <v>55</v>
      </c>
      <c r="D52" s="260" t="s">
        <v>376</v>
      </c>
      <c r="E52" s="260" t="s">
        <v>376</v>
      </c>
      <c r="F52" s="254">
        <v>0.01</v>
      </c>
      <c r="G52" s="239">
        <f>1/167</f>
        <v>5.9880239520958087E-3</v>
      </c>
      <c r="H52" s="231"/>
      <c r="I52" s="231"/>
    </row>
    <row r="53" spans="1:19" ht="34.5" customHeight="1" x14ac:dyDescent="0.35">
      <c r="A53" s="256"/>
      <c r="B53" s="102" t="s">
        <v>127</v>
      </c>
      <c r="C53" s="259"/>
      <c r="D53" s="261"/>
      <c r="E53" s="261"/>
      <c r="F53" s="254"/>
      <c r="G53" s="239"/>
      <c r="H53" s="231"/>
      <c r="I53" s="231"/>
    </row>
    <row r="54" spans="1:19" s="87" customFormat="1" ht="45" customHeight="1" x14ac:dyDescent="0.35">
      <c r="A54" s="98" t="s">
        <v>20</v>
      </c>
      <c r="B54" s="252" t="s">
        <v>39</v>
      </c>
      <c r="C54" s="252"/>
      <c r="D54" s="184" t="s">
        <v>344</v>
      </c>
      <c r="E54" s="184" t="s">
        <v>343</v>
      </c>
      <c r="F54" s="177" t="s">
        <v>342</v>
      </c>
      <c r="G54" s="177" t="s">
        <v>341</v>
      </c>
      <c r="H54" s="115"/>
      <c r="I54" s="115"/>
      <c r="J54" s="86"/>
      <c r="K54" s="86"/>
      <c r="L54" s="86"/>
      <c r="M54" s="86"/>
      <c r="N54" s="86"/>
      <c r="O54" s="86"/>
      <c r="P54" s="86"/>
      <c r="Q54" s="86"/>
      <c r="R54" s="86"/>
      <c r="S54" s="86"/>
    </row>
    <row r="55" spans="1:19" s="87" customFormat="1" ht="34.5" customHeight="1" x14ac:dyDescent="0.35">
      <c r="A55" s="104" t="s">
        <v>212</v>
      </c>
      <c r="B55" s="259" t="s">
        <v>158</v>
      </c>
      <c r="C55" s="259"/>
      <c r="D55" s="175">
        <v>18000</v>
      </c>
      <c r="E55" s="175">
        <v>61000</v>
      </c>
      <c r="F55" s="175">
        <v>26000</v>
      </c>
      <c r="G55" s="229">
        <v>30611</v>
      </c>
      <c r="H55" s="118"/>
      <c r="I55" s="118"/>
      <c r="J55" s="86"/>
      <c r="K55" s="86"/>
      <c r="L55" s="86"/>
      <c r="M55" s="86"/>
      <c r="N55" s="86"/>
      <c r="O55" s="86"/>
      <c r="P55" s="86"/>
      <c r="Q55" s="86"/>
      <c r="R55" s="86"/>
      <c r="S55" s="86"/>
    </row>
    <row r="56" spans="1:19" s="87" customFormat="1" ht="34.5" customHeight="1" x14ac:dyDescent="0.35">
      <c r="A56" s="256" t="s">
        <v>213</v>
      </c>
      <c r="B56" s="101" t="s">
        <v>159</v>
      </c>
      <c r="C56" s="259" t="s">
        <v>55</v>
      </c>
      <c r="D56" s="235" t="s">
        <v>376</v>
      </c>
      <c r="E56" s="235" t="s">
        <v>376</v>
      </c>
      <c r="F56" s="235" t="s">
        <v>376</v>
      </c>
      <c r="G56" s="235" t="s">
        <v>376</v>
      </c>
      <c r="H56" s="231"/>
      <c r="I56" s="231"/>
      <c r="J56" s="86"/>
      <c r="K56" s="86"/>
      <c r="L56" s="86"/>
      <c r="M56" s="86"/>
      <c r="N56" s="86"/>
      <c r="O56" s="86"/>
      <c r="P56" s="86"/>
      <c r="Q56" s="86"/>
      <c r="R56" s="86"/>
      <c r="S56" s="86"/>
    </row>
    <row r="57" spans="1:19" s="87" customFormat="1" ht="34.5" customHeight="1" x14ac:dyDescent="0.35">
      <c r="A57" s="256"/>
      <c r="B57" s="102" t="s">
        <v>58</v>
      </c>
      <c r="C57" s="259"/>
      <c r="D57" s="235"/>
      <c r="E57" s="235"/>
      <c r="F57" s="235"/>
      <c r="G57" s="235"/>
      <c r="H57" s="231"/>
      <c r="I57" s="231"/>
      <c r="J57" s="86"/>
      <c r="K57" s="86"/>
      <c r="L57" s="86"/>
      <c r="M57" s="86"/>
      <c r="N57" s="86"/>
      <c r="O57" s="86"/>
      <c r="P57" s="86"/>
      <c r="Q57" s="86"/>
      <c r="R57" s="86"/>
      <c r="S57" s="86"/>
    </row>
    <row r="58" spans="1:19" s="87" customFormat="1" ht="34.5" customHeight="1" x14ac:dyDescent="0.35">
      <c r="A58" s="256" t="s">
        <v>214</v>
      </c>
      <c r="B58" s="101" t="s">
        <v>160</v>
      </c>
      <c r="C58" s="259" t="s">
        <v>55</v>
      </c>
      <c r="D58" s="235" t="s">
        <v>376</v>
      </c>
      <c r="E58" s="235" t="s">
        <v>376</v>
      </c>
      <c r="F58" s="235" t="s">
        <v>376</v>
      </c>
      <c r="G58" s="235" t="s">
        <v>376</v>
      </c>
      <c r="H58" s="231"/>
      <c r="I58" s="231"/>
      <c r="J58" s="86"/>
      <c r="K58" s="86"/>
      <c r="L58" s="86"/>
      <c r="M58" s="86"/>
      <c r="N58" s="86"/>
      <c r="O58" s="86"/>
      <c r="P58" s="86"/>
      <c r="Q58" s="86"/>
      <c r="R58" s="86"/>
      <c r="S58" s="86"/>
    </row>
    <row r="59" spans="1:19" s="87" customFormat="1" ht="34.5" customHeight="1" x14ac:dyDescent="0.35">
      <c r="A59" s="256"/>
      <c r="B59" s="102" t="s">
        <v>59</v>
      </c>
      <c r="C59" s="259"/>
      <c r="D59" s="235"/>
      <c r="E59" s="235"/>
      <c r="F59" s="235"/>
      <c r="G59" s="235"/>
      <c r="H59" s="231"/>
      <c r="I59" s="231"/>
      <c r="J59" s="86"/>
      <c r="K59" s="86"/>
      <c r="L59" s="86"/>
      <c r="M59" s="86"/>
      <c r="N59" s="86"/>
      <c r="O59" s="86"/>
      <c r="P59" s="86"/>
      <c r="Q59" s="86"/>
      <c r="R59" s="86"/>
      <c r="S59" s="86"/>
    </row>
    <row r="60" spans="1:19" s="87" customFormat="1" ht="34.5" customHeight="1" x14ac:dyDescent="0.35">
      <c r="A60" s="104" t="s">
        <v>161</v>
      </c>
      <c r="B60" s="259" t="s">
        <v>162</v>
      </c>
      <c r="C60" s="259"/>
      <c r="D60" s="175" t="s">
        <v>376</v>
      </c>
      <c r="E60" s="182" t="s">
        <v>376</v>
      </c>
      <c r="F60" s="175">
        <v>5000</v>
      </c>
      <c r="G60" s="229">
        <v>7000</v>
      </c>
      <c r="H60" s="118"/>
      <c r="I60" s="118"/>
      <c r="J60" s="86"/>
      <c r="K60" s="86"/>
      <c r="L60" s="86"/>
      <c r="M60" s="86"/>
      <c r="N60" s="86"/>
      <c r="O60" s="86"/>
      <c r="P60" s="86"/>
      <c r="Q60" s="86"/>
      <c r="R60" s="86"/>
      <c r="S60" s="86"/>
    </row>
    <row r="61" spans="1:19" s="87" customFormat="1" ht="45" customHeight="1" x14ac:dyDescent="0.35">
      <c r="A61" s="98" t="s">
        <v>21</v>
      </c>
      <c r="B61" s="252" t="s">
        <v>39</v>
      </c>
      <c r="C61" s="252"/>
      <c r="D61" s="184" t="s">
        <v>344</v>
      </c>
      <c r="E61" s="184" t="s">
        <v>343</v>
      </c>
      <c r="F61" s="177" t="s">
        <v>342</v>
      </c>
      <c r="G61" s="177" t="s">
        <v>341</v>
      </c>
      <c r="H61" s="115"/>
      <c r="I61" s="115"/>
      <c r="J61" s="86"/>
      <c r="K61" s="86"/>
      <c r="L61" s="86"/>
      <c r="M61" s="86"/>
      <c r="N61" s="86"/>
      <c r="O61" s="86"/>
      <c r="P61" s="86"/>
      <c r="Q61" s="86"/>
      <c r="R61" s="86"/>
      <c r="S61" s="86"/>
    </row>
    <row r="62" spans="1:19" s="87" customFormat="1" ht="34.5" customHeight="1" x14ac:dyDescent="0.35">
      <c r="A62" s="263" t="s">
        <v>215</v>
      </c>
      <c r="B62" s="105" t="s">
        <v>163</v>
      </c>
      <c r="C62" s="259" t="s">
        <v>55</v>
      </c>
      <c r="D62" s="264">
        <v>1</v>
      </c>
      <c r="E62" s="264">
        <v>1</v>
      </c>
      <c r="F62" s="254">
        <v>1</v>
      </c>
      <c r="G62" s="255">
        <f>8/9</f>
        <v>0.88888888888888884</v>
      </c>
      <c r="H62" s="231"/>
      <c r="I62" s="231"/>
      <c r="J62" s="86"/>
      <c r="K62" s="86"/>
      <c r="L62" s="86"/>
      <c r="M62" s="86"/>
      <c r="N62" s="86"/>
      <c r="O62" s="86"/>
      <c r="P62" s="86"/>
      <c r="Q62" s="86"/>
      <c r="R62" s="86"/>
      <c r="S62" s="86"/>
    </row>
    <row r="63" spans="1:19" s="87" customFormat="1" ht="34.5" customHeight="1" x14ac:dyDescent="0.35">
      <c r="A63" s="263"/>
      <c r="B63" s="106" t="s">
        <v>164</v>
      </c>
      <c r="C63" s="259"/>
      <c r="D63" s="235"/>
      <c r="E63" s="235"/>
      <c r="F63" s="254"/>
      <c r="G63" s="255"/>
      <c r="H63" s="231"/>
      <c r="I63" s="231"/>
      <c r="J63" s="86"/>
      <c r="K63" s="86"/>
      <c r="L63" s="86"/>
      <c r="M63" s="86"/>
      <c r="N63" s="86"/>
      <c r="O63" s="86"/>
      <c r="P63" s="86"/>
      <c r="Q63" s="86"/>
      <c r="R63" s="86"/>
      <c r="S63" s="86"/>
    </row>
    <row r="64" spans="1:19" s="87" customFormat="1" ht="34.5" customHeight="1" x14ac:dyDescent="0.35">
      <c r="A64" s="266" t="s">
        <v>216</v>
      </c>
      <c r="B64" s="107" t="s">
        <v>122</v>
      </c>
      <c r="C64" s="259" t="s">
        <v>55</v>
      </c>
      <c r="D64" s="253">
        <v>0.54020000000000001</v>
      </c>
      <c r="E64" s="253">
        <v>0.3846</v>
      </c>
      <c r="F64" s="254">
        <v>0.5</v>
      </c>
      <c r="G64" s="239">
        <f>5/17</f>
        <v>0.29411764705882354</v>
      </c>
      <c r="H64" s="230"/>
      <c r="I64" s="230"/>
      <c r="J64" s="86"/>
      <c r="K64" s="86"/>
      <c r="L64" s="86"/>
      <c r="M64" s="86"/>
      <c r="N64" s="86"/>
      <c r="O64" s="86"/>
      <c r="P64" s="86"/>
      <c r="Q64" s="86"/>
      <c r="R64" s="86"/>
      <c r="S64" s="86"/>
    </row>
    <row r="65" spans="1:19" s="87" customFormat="1" ht="34.5" customHeight="1" x14ac:dyDescent="0.35">
      <c r="A65" s="266"/>
      <c r="B65" s="108" t="s">
        <v>165</v>
      </c>
      <c r="C65" s="259"/>
      <c r="D65" s="235"/>
      <c r="E65" s="235"/>
      <c r="F65" s="254"/>
      <c r="G65" s="239"/>
      <c r="H65" s="230"/>
      <c r="I65" s="230"/>
      <c r="J65" s="86"/>
      <c r="K65" s="86"/>
      <c r="L65" s="86"/>
      <c r="M65" s="86"/>
      <c r="N65" s="86"/>
      <c r="O65" s="86"/>
      <c r="P65" s="86"/>
      <c r="Q65" s="86"/>
      <c r="R65" s="86"/>
      <c r="S65" s="86"/>
    </row>
    <row r="66" spans="1:19" s="87" customFormat="1" ht="34.5" customHeight="1" x14ac:dyDescent="0.35">
      <c r="A66" s="256" t="s">
        <v>217</v>
      </c>
      <c r="B66" s="257" t="s">
        <v>166</v>
      </c>
      <c r="C66" s="257"/>
      <c r="D66" s="235" t="s">
        <v>376</v>
      </c>
      <c r="E66" s="235" t="s">
        <v>376</v>
      </c>
      <c r="F66" s="235" t="s">
        <v>376</v>
      </c>
      <c r="G66" s="235" t="s">
        <v>376</v>
      </c>
      <c r="H66" s="230"/>
      <c r="I66" s="230"/>
      <c r="J66" s="86"/>
      <c r="K66" s="86"/>
      <c r="L66" s="86"/>
      <c r="M66" s="86"/>
      <c r="N66" s="86"/>
      <c r="O66" s="86"/>
      <c r="P66" s="86"/>
      <c r="Q66" s="86"/>
      <c r="R66" s="86"/>
      <c r="S66" s="86"/>
    </row>
    <row r="67" spans="1:19" s="87" customFormat="1" ht="34.5" customHeight="1" x14ac:dyDescent="0.35">
      <c r="A67" s="256"/>
      <c r="B67" s="258" t="s">
        <v>167</v>
      </c>
      <c r="C67" s="258"/>
      <c r="D67" s="235"/>
      <c r="E67" s="235"/>
      <c r="F67" s="235"/>
      <c r="G67" s="235"/>
      <c r="H67" s="230"/>
      <c r="I67" s="230"/>
      <c r="J67" s="86"/>
      <c r="K67" s="86"/>
      <c r="L67" s="86"/>
      <c r="M67" s="86"/>
      <c r="N67" s="86"/>
      <c r="O67" s="86"/>
      <c r="P67" s="86"/>
      <c r="Q67" s="86"/>
      <c r="R67" s="86"/>
      <c r="S67" s="86"/>
    </row>
    <row r="68" spans="1:19" s="87" customFormat="1" ht="45" customHeight="1" x14ac:dyDescent="0.35">
      <c r="A68" s="98" t="s">
        <v>22</v>
      </c>
      <c r="B68" s="252" t="s">
        <v>39</v>
      </c>
      <c r="C68" s="252"/>
      <c r="D68" s="184" t="s">
        <v>344</v>
      </c>
      <c r="E68" s="184" t="s">
        <v>343</v>
      </c>
      <c r="F68" s="177" t="s">
        <v>342</v>
      </c>
      <c r="G68" s="177" t="s">
        <v>341</v>
      </c>
      <c r="H68" s="115"/>
      <c r="I68" s="115"/>
      <c r="J68" s="86"/>
      <c r="K68" s="86"/>
      <c r="L68" s="86"/>
      <c r="M68" s="86"/>
      <c r="N68" s="86"/>
      <c r="O68" s="86"/>
      <c r="P68" s="86"/>
      <c r="Q68" s="86"/>
      <c r="R68" s="86"/>
      <c r="S68" s="86"/>
    </row>
    <row r="69" spans="1:19" s="87" customFormat="1" ht="34.5" customHeight="1" x14ac:dyDescent="0.35">
      <c r="A69" s="256" t="s">
        <v>218</v>
      </c>
      <c r="B69" s="257" t="s">
        <v>189</v>
      </c>
      <c r="C69" s="257"/>
      <c r="D69" s="235">
        <v>3.51</v>
      </c>
      <c r="E69" s="235">
        <v>3.23</v>
      </c>
      <c r="F69" s="235">
        <v>2.77</v>
      </c>
      <c r="G69" s="265">
        <f>10454/3560.903</f>
        <v>2.9357721903685667</v>
      </c>
      <c r="H69" s="230"/>
      <c r="I69" s="230"/>
      <c r="J69" s="86"/>
      <c r="K69" s="86"/>
      <c r="L69" s="86"/>
      <c r="M69" s="86"/>
      <c r="N69" s="86"/>
      <c r="O69" s="86"/>
      <c r="P69" s="86"/>
      <c r="Q69" s="86"/>
      <c r="R69" s="86"/>
      <c r="S69" s="86"/>
    </row>
    <row r="70" spans="1:19" s="87" customFormat="1" ht="34.5" customHeight="1" x14ac:dyDescent="0.35">
      <c r="A70" s="256"/>
      <c r="B70" s="258" t="s">
        <v>169</v>
      </c>
      <c r="C70" s="258"/>
      <c r="D70" s="235"/>
      <c r="E70" s="235"/>
      <c r="F70" s="235"/>
      <c r="G70" s="265"/>
      <c r="H70" s="230"/>
      <c r="I70" s="230"/>
      <c r="J70" s="86"/>
      <c r="K70" s="86"/>
      <c r="L70" s="86"/>
      <c r="M70" s="86"/>
      <c r="N70" s="86"/>
      <c r="O70" s="86"/>
      <c r="P70" s="86"/>
      <c r="Q70" s="86"/>
      <c r="R70" s="86"/>
      <c r="S70" s="86"/>
    </row>
    <row r="71" spans="1:19" s="87" customFormat="1" ht="34.5" customHeight="1" x14ac:dyDescent="0.35">
      <c r="A71" s="256" t="s">
        <v>219</v>
      </c>
      <c r="B71" s="101" t="s">
        <v>117</v>
      </c>
      <c r="C71" s="259" t="s">
        <v>55</v>
      </c>
      <c r="D71" s="235">
        <v>0.02</v>
      </c>
      <c r="E71" s="235">
        <v>0.01</v>
      </c>
      <c r="F71" s="235">
        <f>3/100</f>
        <v>0.03</v>
      </c>
      <c r="G71" s="265">
        <f>210/10454</f>
        <v>2.0088004591543907E-2</v>
      </c>
      <c r="H71" s="231"/>
      <c r="I71" s="231"/>
      <c r="J71" s="86"/>
      <c r="K71" s="86"/>
      <c r="L71" s="86"/>
      <c r="M71" s="86"/>
      <c r="N71" s="86"/>
      <c r="O71" s="86"/>
      <c r="P71" s="86"/>
      <c r="Q71" s="86"/>
      <c r="R71" s="86"/>
      <c r="S71" s="86"/>
    </row>
    <row r="72" spans="1:19" ht="34.5" customHeight="1" x14ac:dyDescent="0.35">
      <c r="A72" s="256"/>
      <c r="B72" s="102" t="s">
        <v>168</v>
      </c>
      <c r="C72" s="259"/>
      <c r="D72" s="235"/>
      <c r="E72" s="235"/>
      <c r="F72" s="235"/>
      <c r="G72" s="265"/>
      <c r="H72" s="231"/>
      <c r="I72" s="231"/>
    </row>
    <row r="73" spans="1:19" s="87" customFormat="1" ht="34.5" customHeight="1" x14ac:dyDescent="0.35">
      <c r="A73" s="256" t="s">
        <v>220</v>
      </c>
      <c r="B73" s="101" t="s">
        <v>170</v>
      </c>
      <c r="C73" s="259" t="s">
        <v>55</v>
      </c>
      <c r="D73" s="235" t="s">
        <v>376</v>
      </c>
      <c r="E73" s="235" t="s">
        <v>376</v>
      </c>
      <c r="F73" s="235">
        <f>1/100</f>
        <v>0.01</v>
      </c>
      <c r="G73" s="267">
        <f>37/10454</f>
        <v>3.5393150947005932E-3</v>
      </c>
      <c r="H73" s="231"/>
      <c r="I73" s="231"/>
    </row>
    <row r="74" spans="1:19" s="87" customFormat="1" ht="34.5" customHeight="1" x14ac:dyDescent="0.35">
      <c r="A74" s="256"/>
      <c r="B74" s="102" t="s">
        <v>168</v>
      </c>
      <c r="C74" s="259"/>
      <c r="D74" s="235"/>
      <c r="E74" s="235"/>
      <c r="F74" s="235"/>
      <c r="G74" s="267"/>
      <c r="H74" s="231"/>
      <c r="I74" s="231"/>
    </row>
    <row r="75" spans="1:19" s="87" customFormat="1" ht="45" customHeight="1" x14ac:dyDescent="0.35">
      <c r="A75" s="98" t="s">
        <v>23</v>
      </c>
      <c r="B75" s="252" t="s">
        <v>39</v>
      </c>
      <c r="C75" s="252"/>
      <c r="D75" s="184" t="s">
        <v>344</v>
      </c>
      <c r="E75" s="184" t="s">
        <v>343</v>
      </c>
      <c r="F75" s="177" t="s">
        <v>342</v>
      </c>
      <c r="G75" s="177" t="s">
        <v>341</v>
      </c>
      <c r="H75" s="115"/>
      <c r="I75" s="115"/>
      <c r="J75" s="86"/>
      <c r="K75" s="86"/>
      <c r="L75" s="86"/>
      <c r="M75" s="86"/>
      <c r="N75" s="86"/>
      <c r="O75" s="86"/>
      <c r="P75" s="86"/>
      <c r="Q75" s="86"/>
      <c r="R75" s="86"/>
      <c r="S75" s="86"/>
    </row>
    <row r="76" spans="1:19" ht="34.5" customHeight="1" x14ac:dyDescent="0.35">
      <c r="A76" s="256" t="s">
        <v>221</v>
      </c>
      <c r="B76" s="257" t="s">
        <v>171</v>
      </c>
      <c r="C76" s="257"/>
      <c r="D76" s="268">
        <v>658</v>
      </c>
      <c r="E76" s="235">
        <v>631</v>
      </c>
      <c r="F76" s="235">
        <v>644.87</v>
      </c>
      <c r="G76" s="265">
        <f>'Fontes '!D7/2666</f>
        <v>700.71071642910738</v>
      </c>
      <c r="H76" s="232"/>
      <c r="I76" s="232"/>
    </row>
    <row r="77" spans="1:19" ht="34.5" customHeight="1" x14ac:dyDescent="0.35">
      <c r="A77" s="256"/>
      <c r="B77" s="258" t="s">
        <v>61</v>
      </c>
      <c r="C77" s="258"/>
      <c r="D77" s="235"/>
      <c r="E77" s="235"/>
      <c r="F77" s="235"/>
      <c r="G77" s="265"/>
      <c r="H77" s="232"/>
      <c r="I77" s="232"/>
    </row>
    <row r="78" spans="1:19" ht="34.5" customHeight="1" x14ac:dyDescent="0.35">
      <c r="A78" s="256" t="s">
        <v>222</v>
      </c>
      <c r="B78" s="101" t="s">
        <v>172</v>
      </c>
      <c r="C78" s="259" t="s">
        <v>55</v>
      </c>
      <c r="D78" s="253">
        <v>0.47570000000000001</v>
      </c>
      <c r="E78" s="253">
        <v>0.53480000000000005</v>
      </c>
      <c r="F78" s="264">
        <v>0.55000000000000004</v>
      </c>
      <c r="G78" s="269">
        <f>'Limites Estratégicos'!N4/'Fontes '!D7</f>
        <v>0.47163277481902049</v>
      </c>
      <c r="H78" s="231"/>
      <c r="I78" s="231"/>
    </row>
    <row r="79" spans="1:19" ht="34.5" customHeight="1" x14ac:dyDescent="0.35">
      <c r="A79" s="256"/>
      <c r="B79" s="102" t="s">
        <v>171</v>
      </c>
      <c r="C79" s="259"/>
      <c r="D79" s="235"/>
      <c r="E79" s="235"/>
      <c r="F79" s="235"/>
      <c r="G79" s="269"/>
      <c r="H79" s="231"/>
      <c r="I79" s="231"/>
    </row>
    <row r="80" spans="1:19" ht="34.5" customHeight="1" x14ac:dyDescent="0.35">
      <c r="A80" s="256" t="s">
        <v>223</v>
      </c>
      <c r="B80" s="257" t="s">
        <v>120</v>
      </c>
      <c r="C80" s="257"/>
      <c r="D80" s="235">
        <v>16.09</v>
      </c>
      <c r="E80" s="235">
        <v>15.35</v>
      </c>
      <c r="F80" s="235">
        <v>14.3</v>
      </c>
      <c r="G80" s="270">
        <f>2406711.97/134310.09</f>
        <v>17.919070488300619</v>
      </c>
      <c r="H80" s="230"/>
      <c r="I80" s="230"/>
    </row>
    <row r="81" spans="1:19" ht="34.5" customHeight="1" x14ac:dyDescent="0.35">
      <c r="A81" s="256"/>
      <c r="B81" s="258" t="s">
        <v>60</v>
      </c>
      <c r="C81" s="258"/>
      <c r="D81" s="235"/>
      <c r="E81" s="235"/>
      <c r="F81" s="235"/>
      <c r="G81" s="270"/>
      <c r="H81" s="230"/>
      <c r="I81" s="230"/>
    </row>
    <row r="82" spans="1:19" ht="34.5" customHeight="1" x14ac:dyDescent="0.35">
      <c r="A82" s="256" t="s">
        <v>224</v>
      </c>
      <c r="B82" s="101" t="s">
        <v>121</v>
      </c>
      <c r="C82" s="259" t="s">
        <v>55</v>
      </c>
      <c r="D82" s="253">
        <v>0.315</v>
      </c>
      <c r="E82" s="253">
        <v>0.309</v>
      </c>
      <c r="F82" s="253">
        <v>0.29799999999999999</v>
      </c>
      <c r="G82" s="269">
        <v>0.33829999999999999</v>
      </c>
      <c r="H82" s="231"/>
      <c r="I82" s="231"/>
    </row>
    <row r="83" spans="1:19" s="87" customFormat="1" ht="34.5" customHeight="1" x14ac:dyDescent="0.35">
      <c r="A83" s="256"/>
      <c r="B83" s="102" t="s">
        <v>190</v>
      </c>
      <c r="C83" s="259"/>
      <c r="D83" s="235"/>
      <c r="E83" s="235"/>
      <c r="F83" s="235"/>
      <c r="G83" s="271"/>
      <c r="H83" s="231"/>
      <c r="I83" s="231"/>
      <c r="J83" s="86"/>
      <c r="K83" s="86"/>
      <c r="L83" s="86"/>
      <c r="M83" s="86"/>
      <c r="N83" s="86"/>
      <c r="O83" s="86"/>
      <c r="P83" s="86"/>
      <c r="Q83" s="86"/>
      <c r="R83" s="86"/>
      <c r="S83" s="86"/>
    </row>
    <row r="84" spans="1:19" s="87" customFormat="1" ht="34.5" customHeight="1" x14ac:dyDescent="0.35">
      <c r="A84" s="256" t="s">
        <v>225</v>
      </c>
      <c r="B84" s="101" t="s">
        <v>62</v>
      </c>
      <c r="C84" s="259" t="s">
        <v>55</v>
      </c>
      <c r="D84" s="253">
        <v>0.59899999999999998</v>
      </c>
      <c r="E84" s="253">
        <v>0.627</v>
      </c>
      <c r="F84" s="253">
        <v>0.55700000000000005</v>
      </c>
      <c r="G84" s="269">
        <v>0.68910000000000005</v>
      </c>
      <c r="H84" s="231"/>
      <c r="I84" s="231"/>
      <c r="J84" s="86"/>
      <c r="K84" s="86"/>
      <c r="L84" s="86"/>
      <c r="M84" s="86"/>
      <c r="N84" s="86"/>
      <c r="O84" s="86"/>
      <c r="P84" s="86"/>
      <c r="Q84" s="86"/>
      <c r="R84" s="86"/>
      <c r="S84" s="86"/>
    </row>
    <row r="85" spans="1:19" s="87" customFormat="1" ht="34.5" customHeight="1" x14ac:dyDescent="0.35">
      <c r="A85" s="256"/>
      <c r="B85" s="102" t="s">
        <v>173</v>
      </c>
      <c r="C85" s="259"/>
      <c r="D85" s="235"/>
      <c r="E85" s="235"/>
      <c r="F85" s="235"/>
      <c r="G85" s="271"/>
      <c r="H85" s="231"/>
      <c r="I85" s="231"/>
      <c r="J85" s="86"/>
      <c r="K85" s="86"/>
      <c r="L85" s="86"/>
      <c r="M85" s="86"/>
      <c r="N85" s="86"/>
      <c r="O85" s="86"/>
      <c r="P85" s="86"/>
      <c r="Q85" s="86"/>
      <c r="R85" s="86"/>
      <c r="S85" s="86"/>
    </row>
    <row r="86" spans="1:19" s="87" customFormat="1" ht="45" customHeight="1" x14ac:dyDescent="0.35">
      <c r="A86" s="98" t="s">
        <v>24</v>
      </c>
      <c r="B86" s="252" t="s">
        <v>39</v>
      </c>
      <c r="C86" s="252"/>
      <c r="D86" s="184" t="s">
        <v>344</v>
      </c>
      <c r="E86" s="184" t="s">
        <v>343</v>
      </c>
      <c r="F86" s="177" t="s">
        <v>342</v>
      </c>
      <c r="G86" s="177" t="s">
        <v>341</v>
      </c>
      <c r="H86" s="115"/>
      <c r="I86" s="115"/>
      <c r="J86" s="86"/>
      <c r="K86" s="86"/>
      <c r="L86" s="86"/>
      <c r="M86" s="86"/>
      <c r="N86" s="86"/>
      <c r="O86" s="86"/>
      <c r="P86" s="86"/>
      <c r="Q86" s="86"/>
      <c r="R86" s="86"/>
      <c r="S86" s="86"/>
    </row>
    <row r="87" spans="1:19" s="87" customFormat="1" ht="34.5" customHeight="1" x14ac:dyDescent="0.35">
      <c r="A87" s="256" t="s">
        <v>226</v>
      </c>
      <c r="B87" s="101" t="s">
        <v>174</v>
      </c>
      <c r="C87" s="259" t="s">
        <v>55</v>
      </c>
      <c r="D87" s="235" t="s">
        <v>376</v>
      </c>
      <c r="E87" s="235" t="s">
        <v>376</v>
      </c>
      <c r="F87" s="235" t="s">
        <v>376</v>
      </c>
      <c r="G87" s="235" t="s">
        <v>376</v>
      </c>
      <c r="H87" s="231"/>
      <c r="I87" s="231"/>
      <c r="J87" s="86"/>
      <c r="K87" s="86"/>
      <c r="L87" s="86"/>
      <c r="M87" s="86"/>
      <c r="N87" s="86"/>
      <c r="O87" s="86"/>
      <c r="P87" s="86"/>
      <c r="Q87" s="86"/>
      <c r="R87" s="86"/>
      <c r="S87" s="86"/>
    </row>
    <row r="88" spans="1:19" s="87" customFormat="1" ht="34.5" customHeight="1" x14ac:dyDescent="0.35">
      <c r="A88" s="256"/>
      <c r="B88" s="102" t="s">
        <v>175</v>
      </c>
      <c r="C88" s="259"/>
      <c r="D88" s="235"/>
      <c r="E88" s="235"/>
      <c r="F88" s="235"/>
      <c r="G88" s="235"/>
      <c r="H88" s="231"/>
      <c r="I88" s="231"/>
      <c r="J88" s="86"/>
      <c r="K88" s="86"/>
      <c r="L88" s="86"/>
      <c r="M88" s="86"/>
      <c r="N88" s="86"/>
      <c r="O88" s="86"/>
      <c r="P88" s="86"/>
      <c r="Q88" s="86"/>
      <c r="R88" s="86"/>
      <c r="S88" s="86"/>
    </row>
    <row r="89" spans="1:19" s="87" customFormat="1" ht="34.5" customHeight="1" x14ac:dyDescent="0.35">
      <c r="A89" s="256" t="s">
        <v>227</v>
      </c>
      <c r="B89" s="101" t="s">
        <v>176</v>
      </c>
      <c r="C89" s="259" t="s">
        <v>55</v>
      </c>
      <c r="D89" s="235" t="s">
        <v>376</v>
      </c>
      <c r="E89" s="235" t="s">
        <v>376</v>
      </c>
      <c r="F89" s="235" t="s">
        <v>376</v>
      </c>
      <c r="G89" s="235" t="s">
        <v>376</v>
      </c>
      <c r="H89" s="231"/>
      <c r="I89" s="231"/>
      <c r="J89" s="86"/>
      <c r="K89" s="86"/>
      <c r="L89" s="86"/>
      <c r="M89" s="86"/>
      <c r="N89" s="86"/>
      <c r="O89" s="86"/>
      <c r="P89" s="86"/>
      <c r="Q89" s="86"/>
      <c r="R89" s="86"/>
      <c r="S89" s="86"/>
    </row>
    <row r="90" spans="1:19" s="87" customFormat="1" ht="34.5" customHeight="1" x14ac:dyDescent="0.35">
      <c r="A90" s="256"/>
      <c r="B90" s="102" t="s">
        <v>177</v>
      </c>
      <c r="C90" s="259"/>
      <c r="D90" s="235"/>
      <c r="E90" s="235"/>
      <c r="F90" s="235"/>
      <c r="G90" s="235"/>
      <c r="H90" s="231"/>
      <c r="I90" s="231"/>
      <c r="J90" s="86"/>
      <c r="K90" s="86"/>
      <c r="L90" s="86"/>
      <c r="M90" s="86"/>
      <c r="N90" s="86"/>
      <c r="O90" s="86"/>
      <c r="P90" s="86"/>
      <c r="Q90" s="86"/>
      <c r="R90" s="86"/>
      <c r="S90" s="86"/>
    </row>
    <row r="91" spans="1:19" s="87" customFormat="1" ht="34.5" customHeight="1" x14ac:dyDescent="0.35">
      <c r="A91" s="256" t="s">
        <v>228</v>
      </c>
      <c r="B91" s="101" t="s">
        <v>178</v>
      </c>
      <c r="C91" s="259" t="s">
        <v>55</v>
      </c>
      <c r="D91" s="235" t="s">
        <v>376</v>
      </c>
      <c r="E91" s="235" t="s">
        <v>376</v>
      </c>
      <c r="F91" s="235" t="s">
        <v>376</v>
      </c>
      <c r="G91" s="235" t="s">
        <v>376</v>
      </c>
      <c r="H91" s="231"/>
      <c r="I91" s="231"/>
      <c r="J91" s="86"/>
      <c r="K91" s="86"/>
      <c r="L91" s="86"/>
      <c r="M91" s="86"/>
      <c r="N91" s="86"/>
      <c r="O91" s="86"/>
      <c r="P91" s="86"/>
      <c r="Q91" s="86"/>
      <c r="R91" s="86"/>
      <c r="S91" s="86"/>
    </row>
    <row r="92" spans="1:19" s="87" customFormat="1" ht="34.5" customHeight="1" x14ac:dyDescent="0.35">
      <c r="A92" s="256"/>
      <c r="B92" s="102" t="s">
        <v>177</v>
      </c>
      <c r="C92" s="259"/>
      <c r="D92" s="235"/>
      <c r="E92" s="235"/>
      <c r="F92" s="235"/>
      <c r="G92" s="235"/>
      <c r="H92" s="231"/>
      <c r="I92" s="231"/>
      <c r="J92" s="86"/>
      <c r="K92" s="86"/>
      <c r="L92" s="86"/>
      <c r="M92" s="86"/>
      <c r="N92" s="86"/>
      <c r="O92" s="86"/>
      <c r="P92" s="86"/>
      <c r="Q92" s="86"/>
      <c r="R92" s="86"/>
      <c r="S92" s="86"/>
    </row>
    <row r="93" spans="1:19" s="87" customFormat="1" ht="45" customHeight="1" x14ac:dyDescent="0.35">
      <c r="A93" s="98" t="s">
        <v>25</v>
      </c>
      <c r="B93" s="252" t="s">
        <v>39</v>
      </c>
      <c r="C93" s="252"/>
      <c r="D93" s="184" t="s">
        <v>344</v>
      </c>
      <c r="E93" s="184" t="s">
        <v>343</v>
      </c>
      <c r="F93" s="177" t="s">
        <v>342</v>
      </c>
      <c r="G93" s="177" t="s">
        <v>341</v>
      </c>
      <c r="H93" s="115"/>
      <c r="I93" s="115"/>
      <c r="J93" s="86"/>
      <c r="K93" s="86"/>
      <c r="L93" s="86"/>
      <c r="M93" s="86"/>
      <c r="N93" s="86"/>
      <c r="O93" s="86"/>
      <c r="P93" s="86"/>
      <c r="Q93" s="86"/>
      <c r="R93" s="86"/>
      <c r="S93" s="86"/>
    </row>
    <row r="94" spans="1:19" s="87" customFormat="1" ht="34.5" customHeight="1" x14ac:dyDescent="0.35">
      <c r="A94" s="256" t="s">
        <v>229</v>
      </c>
      <c r="B94" s="257" t="s">
        <v>63</v>
      </c>
      <c r="C94" s="257"/>
      <c r="D94" s="235" t="s">
        <v>376</v>
      </c>
      <c r="E94" s="235" t="s">
        <v>376</v>
      </c>
      <c r="F94" s="235" t="s">
        <v>376</v>
      </c>
      <c r="G94" s="235" t="s">
        <v>376</v>
      </c>
      <c r="H94" s="230"/>
      <c r="I94" s="230"/>
      <c r="J94" s="86"/>
      <c r="K94" s="86"/>
      <c r="L94" s="86"/>
      <c r="M94" s="86"/>
      <c r="N94" s="86"/>
      <c r="O94" s="86"/>
      <c r="P94" s="86"/>
      <c r="Q94" s="86"/>
      <c r="R94" s="86"/>
      <c r="S94" s="86"/>
    </row>
    <row r="95" spans="1:19" s="87" customFormat="1" ht="34.5" customHeight="1" x14ac:dyDescent="0.35">
      <c r="A95" s="256"/>
      <c r="B95" s="258" t="s">
        <v>64</v>
      </c>
      <c r="C95" s="258"/>
      <c r="D95" s="235"/>
      <c r="E95" s="235"/>
      <c r="F95" s="235"/>
      <c r="G95" s="235"/>
      <c r="H95" s="230"/>
      <c r="I95" s="230"/>
      <c r="J95" s="86"/>
      <c r="K95" s="86"/>
      <c r="L95" s="86"/>
      <c r="M95" s="86"/>
      <c r="N95" s="86"/>
      <c r="O95" s="86"/>
      <c r="P95" s="86"/>
      <c r="Q95" s="86"/>
      <c r="R95" s="86"/>
      <c r="S95" s="86"/>
    </row>
    <row r="96" spans="1:19" s="87" customFormat="1" ht="45" customHeight="1" x14ac:dyDescent="0.35">
      <c r="A96" s="98" t="s">
        <v>26</v>
      </c>
      <c r="B96" s="252" t="s">
        <v>39</v>
      </c>
      <c r="C96" s="252"/>
      <c r="D96" s="184" t="s">
        <v>344</v>
      </c>
      <c r="E96" s="184" t="s">
        <v>343</v>
      </c>
      <c r="F96" s="177" t="s">
        <v>342</v>
      </c>
      <c r="G96" s="177" t="s">
        <v>341</v>
      </c>
      <c r="H96" s="115"/>
      <c r="I96" s="115"/>
      <c r="J96" s="86"/>
      <c r="K96" s="86"/>
      <c r="L96" s="86"/>
      <c r="M96" s="86"/>
      <c r="N96" s="86"/>
      <c r="O96" s="86"/>
      <c r="P96" s="86"/>
      <c r="Q96" s="86"/>
      <c r="R96" s="86"/>
      <c r="S96" s="86"/>
    </row>
    <row r="97" spans="1:19" s="87" customFormat="1" ht="34.5" customHeight="1" x14ac:dyDescent="0.35">
      <c r="A97" s="104" t="s">
        <v>179</v>
      </c>
      <c r="B97" s="259" t="s">
        <v>180</v>
      </c>
      <c r="C97" s="259"/>
      <c r="D97" s="175" t="s">
        <v>376</v>
      </c>
      <c r="E97" s="182" t="s">
        <v>376</v>
      </c>
      <c r="F97" s="182" t="s">
        <v>376</v>
      </c>
      <c r="G97" s="182" t="s">
        <v>376</v>
      </c>
      <c r="H97" s="119"/>
      <c r="I97" s="119"/>
      <c r="J97" s="86"/>
      <c r="K97" s="86"/>
      <c r="L97" s="86"/>
      <c r="M97" s="86"/>
      <c r="N97" s="86"/>
      <c r="O97" s="86"/>
      <c r="P97" s="86"/>
      <c r="Q97" s="86"/>
      <c r="R97" s="86"/>
      <c r="S97" s="86"/>
    </row>
    <row r="98" spans="1:19" s="87" customFormat="1" ht="34.5" customHeight="1" x14ac:dyDescent="0.35">
      <c r="A98" s="256" t="s">
        <v>181</v>
      </c>
      <c r="B98" s="101" t="s">
        <v>230</v>
      </c>
      <c r="C98" s="272" t="s">
        <v>55</v>
      </c>
      <c r="D98" s="235" t="s">
        <v>376</v>
      </c>
      <c r="E98" s="235" t="s">
        <v>376</v>
      </c>
      <c r="F98" s="235" t="s">
        <v>376</v>
      </c>
      <c r="G98" s="235" t="s">
        <v>376</v>
      </c>
      <c r="H98" s="231"/>
      <c r="I98" s="231"/>
      <c r="J98" s="86"/>
      <c r="K98" s="86"/>
      <c r="L98" s="86"/>
      <c r="M98" s="86"/>
      <c r="N98" s="86"/>
      <c r="O98" s="86"/>
      <c r="P98" s="86"/>
      <c r="Q98" s="86"/>
      <c r="R98" s="86"/>
      <c r="S98" s="86"/>
    </row>
    <row r="99" spans="1:19" s="87" customFormat="1" ht="34.5" customHeight="1" x14ac:dyDescent="0.35">
      <c r="A99" s="256"/>
      <c r="B99" s="102" t="s">
        <v>231</v>
      </c>
      <c r="C99" s="272"/>
      <c r="D99" s="235"/>
      <c r="E99" s="235"/>
      <c r="F99" s="235"/>
      <c r="G99" s="235"/>
      <c r="H99" s="231"/>
      <c r="I99" s="231"/>
      <c r="J99" s="86"/>
      <c r="K99" s="86"/>
      <c r="L99" s="86"/>
      <c r="M99" s="86"/>
      <c r="N99" s="86"/>
      <c r="O99" s="86"/>
      <c r="P99" s="86"/>
      <c r="Q99" s="86"/>
      <c r="R99" s="86"/>
      <c r="S99" s="86"/>
    </row>
    <row r="100" spans="1:19" s="87" customFormat="1" ht="45" customHeight="1" x14ac:dyDescent="0.35">
      <c r="A100" s="98" t="s">
        <v>27</v>
      </c>
      <c r="B100" s="252" t="s">
        <v>39</v>
      </c>
      <c r="C100" s="252"/>
      <c r="D100" s="184" t="s">
        <v>344</v>
      </c>
      <c r="E100" s="184" t="s">
        <v>343</v>
      </c>
      <c r="F100" s="177" t="s">
        <v>342</v>
      </c>
      <c r="G100" s="177" t="s">
        <v>341</v>
      </c>
      <c r="H100" s="115"/>
      <c r="I100" s="115"/>
      <c r="J100" s="86"/>
      <c r="K100" s="86"/>
      <c r="L100" s="86"/>
      <c r="M100" s="86"/>
      <c r="N100" s="86"/>
      <c r="O100" s="86"/>
      <c r="P100" s="86"/>
      <c r="Q100" s="86"/>
      <c r="R100" s="86"/>
      <c r="S100" s="86"/>
    </row>
    <row r="101" spans="1:19" s="87" customFormat="1" ht="34.5" customHeight="1" x14ac:dyDescent="0.35">
      <c r="A101" s="256" t="s">
        <v>232</v>
      </c>
      <c r="B101" s="101" t="s">
        <v>118</v>
      </c>
      <c r="C101" s="272" t="s">
        <v>55</v>
      </c>
      <c r="D101" s="235" t="s">
        <v>376</v>
      </c>
      <c r="E101" s="235" t="s">
        <v>376</v>
      </c>
      <c r="F101" s="235" t="s">
        <v>376</v>
      </c>
      <c r="G101" s="235" t="s">
        <v>376</v>
      </c>
      <c r="H101" s="231"/>
      <c r="I101" s="231"/>
      <c r="J101" s="86"/>
      <c r="K101" s="86"/>
      <c r="L101" s="86"/>
      <c r="M101" s="86"/>
      <c r="N101" s="86"/>
      <c r="O101" s="86"/>
      <c r="P101" s="86"/>
      <c r="Q101" s="86"/>
      <c r="R101" s="86"/>
      <c r="S101" s="86"/>
    </row>
    <row r="102" spans="1:19" ht="34.5" customHeight="1" x14ac:dyDescent="0.35">
      <c r="A102" s="256"/>
      <c r="B102" s="109" t="s">
        <v>65</v>
      </c>
      <c r="C102" s="272"/>
      <c r="D102" s="235"/>
      <c r="E102" s="235"/>
      <c r="F102" s="235"/>
      <c r="G102" s="235"/>
      <c r="H102" s="231"/>
      <c r="I102" s="231"/>
    </row>
    <row r="103" spans="1:19" ht="34.5" customHeight="1" x14ac:dyDescent="0.35">
      <c r="A103" s="256" t="s">
        <v>233</v>
      </c>
      <c r="B103" s="101" t="s">
        <v>119</v>
      </c>
      <c r="C103" s="272" t="s">
        <v>55</v>
      </c>
      <c r="D103" s="235" t="s">
        <v>376</v>
      </c>
      <c r="E103" s="235" t="s">
        <v>376</v>
      </c>
      <c r="F103" s="260" t="s">
        <v>376</v>
      </c>
      <c r="G103" s="260" t="s">
        <v>376</v>
      </c>
      <c r="H103" s="231"/>
      <c r="I103" s="231"/>
    </row>
    <row r="104" spans="1:19" ht="34.5" customHeight="1" x14ac:dyDescent="0.35">
      <c r="A104" s="256"/>
      <c r="B104" s="109" t="s">
        <v>66</v>
      </c>
      <c r="C104" s="272"/>
      <c r="D104" s="235"/>
      <c r="E104" s="235"/>
      <c r="F104" s="261"/>
      <c r="G104" s="261"/>
      <c r="H104" s="231"/>
      <c r="I104" s="231"/>
    </row>
    <row r="105" spans="1:19" ht="57.75" customHeight="1" x14ac:dyDescent="0.35"/>
    <row r="106" spans="1:19" x14ac:dyDescent="0.35"/>
    <row r="107" spans="1:19" x14ac:dyDescent="0.35"/>
    <row r="108" spans="1:19" x14ac:dyDescent="0.35"/>
    <row r="109" spans="1:19" x14ac:dyDescent="0.35"/>
    <row r="110" spans="1:19" x14ac:dyDescent="0.35"/>
    <row r="111" spans="1:19" x14ac:dyDescent="0.35"/>
    <row r="112" spans="1:19" x14ac:dyDescent="0.35"/>
    <row r="113" x14ac:dyDescent="0.35"/>
    <row r="114" x14ac:dyDescent="0.35"/>
    <row r="115" x14ac:dyDescent="0.35"/>
    <row r="116" x14ac:dyDescent="0.35"/>
    <row r="117" x14ac:dyDescent="0.35"/>
    <row r="118" x14ac:dyDescent="0.35"/>
    <row r="119" x14ac:dyDescent="0.35"/>
    <row r="120" x14ac:dyDescent="0.35"/>
    <row r="121" x14ac:dyDescent="0.35"/>
    <row r="122" x14ac:dyDescent="0.35"/>
    <row r="123" x14ac:dyDescent="0.35"/>
    <row r="124" x14ac:dyDescent="0.35"/>
    <row r="125" x14ac:dyDescent="0.35"/>
    <row r="126" x14ac:dyDescent="0.35"/>
    <row r="127" x14ac:dyDescent="0.35"/>
  </sheetData>
  <protectedRanges>
    <protectedRange algorithmName="SHA-512" hashValue="oBu0U8UHWW1M9CSBiI+2smTKBuiu7zBMJPASzxaVW3/YfTocFsZXqoNbgPAUiXKweXnE/VLNBYi0YQjO9aRFIA==" saltValue="Uwn4xh4BFhDBBJp6oLNp+A==" spinCount="100000" sqref="H1:I1 H3:I1048576" name="Indicadores"/>
  </protectedRanges>
  <mergeCells count="348">
    <mergeCell ref="F94:F95"/>
    <mergeCell ref="D89:D90"/>
    <mergeCell ref="D91:D92"/>
    <mergeCell ref="G50:G51"/>
    <mergeCell ref="H6:H7"/>
    <mergeCell ref="H11:H12"/>
    <mergeCell ref="I11:I12"/>
    <mergeCell ref="H13:H14"/>
    <mergeCell ref="I13:I14"/>
    <mergeCell ref="H15:H16"/>
    <mergeCell ref="I15:I16"/>
    <mergeCell ref="H17:H18"/>
    <mergeCell ref="I17:I18"/>
    <mergeCell ref="H19:H20"/>
    <mergeCell ref="I19:I20"/>
    <mergeCell ref="H21:H22"/>
    <mergeCell ref="D94:D95"/>
    <mergeCell ref="D36:D37"/>
    <mergeCell ref="D39:D40"/>
    <mergeCell ref="D41:D42"/>
    <mergeCell ref="D43:D44"/>
    <mergeCell ref="D45:D46"/>
    <mergeCell ref="D50:D51"/>
    <mergeCell ref="D52:D53"/>
    <mergeCell ref="F89:F90"/>
    <mergeCell ref="F91:F92"/>
    <mergeCell ref="I5:R7"/>
    <mergeCell ref="D11:D12"/>
    <mergeCell ref="D13:D14"/>
    <mergeCell ref="D15:D16"/>
    <mergeCell ref="D17:D18"/>
    <mergeCell ref="D19:D20"/>
    <mergeCell ref="D21:D22"/>
    <mergeCell ref="D23:D24"/>
    <mergeCell ref="D56:D57"/>
    <mergeCell ref="D58:D59"/>
    <mergeCell ref="I21:I22"/>
    <mergeCell ref="H23:H24"/>
    <mergeCell ref="I23:I24"/>
    <mergeCell ref="H25:H26"/>
    <mergeCell ref="I25:I26"/>
    <mergeCell ref="H27:H28"/>
    <mergeCell ref="I27:I28"/>
    <mergeCell ref="H29:H30"/>
    <mergeCell ref="I29:I30"/>
    <mergeCell ref="H32:H33"/>
    <mergeCell ref="I32:I33"/>
    <mergeCell ref="H34:H35"/>
    <mergeCell ref="A1:G1"/>
    <mergeCell ref="A2:G2"/>
    <mergeCell ref="F6:F7"/>
    <mergeCell ref="F11:F12"/>
    <mergeCell ref="F13:F14"/>
    <mergeCell ref="B100:C100"/>
    <mergeCell ref="A101:A102"/>
    <mergeCell ref="C101:C102"/>
    <mergeCell ref="E101:E102"/>
    <mergeCell ref="G101:G102"/>
    <mergeCell ref="B93:C93"/>
    <mergeCell ref="A94:A95"/>
    <mergeCell ref="B94:C94"/>
    <mergeCell ref="E94:E95"/>
    <mergeCell ref="G94:G95"/>
    <mergeCell ref="B95:C95"/>
    <mergeCell ref="A89:A90"/>
    <mergeCell ref="C89:C90"/>
    <mergeCell ref="E89:E90"/>
    <mergeCell ref="G89:G90"/>
    <mergeCell ref="G91:G92"/>
    <mergeCell ref="A91:A92"/>
    <mergeCell ref="C91:C92"/>
    <mergeCell ref="E91:E92"/>
    <mergeCell ref="A103:A104"/>
    <mergeCell ref="C103:C104"/>
    <mergeCell ref="E103:E104"/>
    <mergeCell ref="G103:G104"/>
    <mergeCell ref="B96:C96"/>
    <mergeCell ref="B97:C97"/>
    <mergeCell ref="A98:A99"/>
    <mergeCell ref="C98:C99"/>
    <mergeCell ref="E98:E99"/>
    <mergeCell ref="G98:G99"/>
    <mergeCell ref="F98:F99"/>
    <mergeCell ref="F101:F102"/>
    <mergeCell ref="F103:F104"/>
    <mergeCell ref="D98:D99"/>
    <mergeCell ref="D101:D102"/>
    <mergeCell ref="D103:D104"/>
    <mergeCell ref="B86:C86"/>
    <mergeCell ref="A87:A88"/>
    <mergeCell ref="C87:C88"/>
    <mergeCell ref="E87:E88"/>
    <mergeCell ref="G87:G88"/>
    <mergeCell ref="F87:F88"/>
    <mergeCell ref="A82:A83"/>
    <mergeCell ref="C82:C83"/>
    <mergeCell ref="E82:E83"/>
    <mergeCell ref="G82:G83"/>
    <mergeCell ref="A84:A85"/>
    <mergeCell ref="C84:C85"/>
    <mergeCell ref="E84:E85"/>
    <mergeCell ref="G84:G85"/>
    <mergeCell ref="F82:F83"/>
    <mergeCell ref="F84:F85"/>
    <mergeCell ref="D82:D83"/>
    <mergeCell ref="D84:D85"/>
    <mergeCell ref="D87:D88"/>
    <mergeCell ref="A78:A79"/>
    <mergeCell ref="C78:C79"/>
    <mergeCell ref="E78:E79"/>
    <mergeCell ref="G78:G79"/>
    <mergeCell ref="A80:A81"/>
    <mergeCell ref="B80:C80"/>
    <mergeCell ref="E80:E81"/>
    <mergeCell ref="G80:G81"/>
    <mergeCell ref="B81:C81"/>
    <mergeCell ref="F80:F81"/>
    <mergeCell ref="D78:D79"/>
    <mergeCell ref="D80:D81"/>
    <mergeCell ref="F78:F79"/>
    <mergeCell ref="B75:C75"/>
    <mergeCell ref="A76:A77"/>
    <mergeCell ref="B76:C76"/>
    <mergeCell ref="E76:E77"/>
    <mergeCell ref="G76:G77"/>
    <mergeCell ref="B77:C77"/>
    <mergeCell ref="A71:A72"/>
    <mergeCell ref="C71:C72"/>
    <mergeCell ref="E71:E72"/>
    <mergeCell ref="G71:G72"/>
    <mergeCell ref="A73:A74"/>
    <mergeCell ref="C73:C74"/>
    <mergeCell ref="E73:E74"/>
    <mergeCell ref="G73:G74"/>
    <mergeCell ref="D71:D72"/>
    <mergeCell ref="D73:D74"/>
    <mergeCell ref="D76:D77"/>
    <mergeCell ref="F71:F72"/>
    <mergeCell ref="F73:F74"/>
    <mergeCell ref="F76:F77"/>
    <mergeCell ref="B68:C68"/>
    <mergeCell ref="A69:A70"/>
    <mergeCell ref="B69:C69"/>
    <mergeCell ref="E69:E70"/>
    <mergeCell ref="G69:G70"/>
    <mergeCell ref="B70:C70"/>
    <mergeCell ref="A64:A65"/>
    <mergeCell ref="C64:C65"/>
    <mergeCell ref="E64:E65"/>
    <mergeCell ref="G64:G65"/>
    <mergeCell ref="A66:A67"/>
    <mergeCell ref="B66:C66"/>
    <mergeCell ref="E66:E67"/>
    <mergeCell ref="G66:G67"/>
    <mergeCell ref="B67:C67"/>
    <mergeCell ref="F64:F65"/>
    <mergeCell ref="D64:D65"/>
    <mergeCell ref="D66:D67"/>
    <mergeCell ref="D69:D70"/>
    <mergeCell ref="F66:F67"/>
    <mergeCell ref="F69:F70"/>
    <mergeCell ref="B60:C60"/>
    <mergeCell ref="B61:C61"/>
    <mergeCell ref="A62:A63"/>
    <mergeCell ref="C62:C63"/>
    <mergeCell ref="E62:E63"/>
    <mergeCell ref="G62:G63"/>
    <mergeCell ref="F62:F63"/>
    <mergeCell ref="B55:C55"/>
    <mergeCell ref="A56:A57"/>
    <mergeCell ref="C56:C57"/>
    <mergeCell ref="E56:E57"/>
    <mergeCell ref="G56:G57"/>
    <mergeCell ref="A58:A59"/>
    <mergeCell ref="C58:C59"/>
    <mergeCell ref="E58:E59"/>
    <mergeCell ref="G58:G59"/>
    <mergeCell ref="F56:F57"/>
    <mergeCell ref="F58:F59"/>
    <mergeCell ref="D62:D63"/>
    <mergeCell ref="A52:A53"/>
    <mergeCell ref="C52:C53"/>
    <mergeCell ref="E52:E53"/>
    <mergeCell ref="G52:G53"/>
    <mergeCell ref="B54:C54"/>
    <mergeCell ref="B47:C47"/>
    <mergeCell ref="B48:C48"/>
    <mergeCell ref="B49:C49"/>
    <mergeCell ref="A50:A51"/>
    <mergeCell ref="C50:C51"/>
    <mergeCell ref="E50:E51"/>
    <mergeCell ref="F50:F51"/>
    <mergeCell ref="F52:F53"/>
    <mergeCell ref="A43:A44"/>
    <mergeCell ref="B43:C43"/>
    <mergeCell ref="E43:E44"/>
    <mergeCell ref="G43:G44"/>
    <mergeCell ref="B44:C44"/>
    <mergeCell ref="A45:A46"/>
    <mergeCell ref="C45:C46"/>
    <mergeCell ref="E45:E46"/>
    <mergeCell ref="G45:G46"/>
    <mergeCell ref="F45:F46"/>
    <mergeCell ref="F43:F44"/>
    <mergeCell ref="B38:C38"/>
    <mergeCell ref="A39:A40"/>
    <mergeCell ref="C39:C40"/>
    <mergeCell ref="E39:E40"/>
    <mergeCell ref="G39:G40"/>
    <mergeCell ref="A41:A42"/>
    <mergeCell ref="C41:C42"/>
    <mergeCell ref="E41:E42"/>
    <mergeCell ref="G41:G42"/>
    <mergeCell ref="F39:F40"/>
    <mergeCell ref="F41:F42"/>
    <mergeCell ref="A36:A37"/>
    <mergeCell ref="C36:C37"/>
    <mergeCell ref="E36:E37"/>
    <mergeCell ref="G36:G37"/>
    <mergeCell ref="A29:A30"/>
    <mergeCell ref="C29:C30"/>
    <mergeCell ref="E29:E30"/>
    <mergeCell ref="G29:G30"/>
    <mergeCell ref="B31:C31"/>
    <mergeCell ref="A32:A33"/>
    <mergeCell ref="C32:C33"/>
    <mergeCell ref="E32:E33"/>
    <mergeCell ref="G32:G33"/>
    <mergeCell ref="F29:F30"/>
    <mergeCell ref="F32:F33"/>
    <mergeCell ref="F34:F35"/>
    <mergeCell ref="F36:F37"/>
    <mergeCell ref="D29:D30"/>
    <mergeCell ref="D32:D33"/>
    <mergeCell ref="D34:D35"/>
    <mergeCell ref="A27:A28"/>
    <mergeCell ref="C27:C28"/>
    <mergeCell ref="E27:E28"/>
    <mergeCell ref="G27:G28"/>
    <mergeCell ref="F25:F26"/>
    <mergeCell ref="F27:F28"/>
    <mergeCell ref="D25:D26"/>
    <mergeCell ref="D27:D28"/>
    <mergeCell ref="A34:A35"/>
    <mergeCell ref="C34:C35"/>
    <mergeCell ref="E34:E35"/>
    <mergeCell ref="G34:G35"/>
    <mergeCell ref="A23:A24"/>
    <mergeCell ref="C23:C24"/>
    <mergeCell ref="E23:E24"/>
    <mergeCell ref="G23:G24"/>
    <mergeCell ref="F21:F22"/>
    <mergeCell ref="F23:F24"/>
    <mergeCell ref="A25:A26"/>
    <mergeCell ref="C25:C26"/>
    <mergeCell ref="E25:E26"/>
    <mergeCell ref="G25:G26"/>
    <mergeCell ref="C19:C20"/>
    <mergeCell ref="E19:E20"/>
    <mergeCell ref="G19:G20"/>
    <mergeCell ref="F17:F18"/>
    <mergeCell ref="F19:F20"/>
    <mergeCell ref="A21:A22"/>
    <mergeCell ref="C21:C22"/>
    <mergeCell ref="E21:E22"/>
    <mergeCell ref="G21:G22"/>
    <mergeCell ref="A19:A20"/>
    <mergeCell ref="A4:G4"/>
    <mergeCell ref="B5:C5"/>
    <mergeCell ref="A6:A7"/>
    <mergeCell ref="C6:C7"/>
    <mergeCell ref="E6:E7"/>
    <mergeCell ref="G6:G7"/>
    <mergeCell ref="A13:A14"/>
    <mergeCell ref="C13:C14"/>
    <mergeCell ref="E13:E14"/>
    <mergeCell ref="G13:G14"/>
    <mergeCell ref="A9:G9"/>
    <mergeCell ref="B10:C10"/>
    <mergeCell ref="A11:A12"/>
    <mergeCell ref="C11:C12"/>
    <mergeCell ref="E11:E12"/>
    <mergeCell ref="G11:G12"/>
    <mergeCell ref="A15:A16"/>
    <mergeCell ref="B15:C15"/>
    <mergeCell ref="E15:E16"/>
    <mergeCell ref="G15:G16"/>
    <mergeCell ref="B16:C16"/>
    <mergeCell ref="F15:F16"/>
    <mergeCell ref="A17:A18"/>
    <mergeCell ref="C17:C18"/>
    <mergeCell ref="E17:E18"/>
    <mergeCell ref="G17:G18"/>
    <mergeCell ref="I34:I35"/>
    <mergeCell ref="H36:H37"/>
    <mergeCell ref="I36:I37"/>
    <mergeCell ref="H39:H40"/>
    <mergeCell ref="I39:I40"/>
    <mergeCell ref="H41:H42"/>
    <mergeCell ref="I41:I42"/>
    <mergeCell ref="H43:H44"/>
    <mergeCell ref="I43:I44"/>
    <mergeCell ref="H45:H46"/>
    <mergeCell ref="I45:I46"/>
    <mergeCell ref="H50:H51"/>
    <mergeCell ref="I50:I51"/>
    <mergeCell ref="H52:H53"/>
    <mergeCell ref="I52:I53"/>
    <mergeCell ref="H56:H57"/>
    <mergeCell ref="I56:I57"/>
    <mergeCell ref="H58:H59"/>
    <mergeCell ref="I58:I59"/>
    <mergeCell ref="H62:H63"/>
    <mergeCell ref="I62:I63"/>
    <mergeCell ref="H64:H65"/>
    <mergeCell ref="I64:I65"/>
    <mergeCell ref="I66:I67"/>
    <mergeCell ref="H103:H104"/>
    <mergeCell ref="I103:I104"/>
    <mergeCell ref="H89:H90"/>
    <mergeCell ref="I89:I90"/>
    <mergeCell ref="H91:H92"/>
    <mergeCell ref="I91:I92"/>
    <mergeCell ref="H94:H95"/>
    <mergeCell ref="I94:I95"/>
    <mergeCell ref="H98:H99"/>
    <mergeCell ref="I98:I99"/>
    <mergeCell ref="H101:H102"/>
    <mergeCell ref="I101:I102"/>
    <mergeCell ref="H82:H83"/>
    <mergeCell ref="I82:I83"/>
    <mergeCell ref="H84:H85"/>
    <mergeCell ref="I84:I85"/>
    <mergeCell ref="H87:H88"/>
    <mergeCell ref="I87:I88"/>
    <mergeCell ref="H66:H67"/>
    <mergeCell ref="H80:H81"/>
    <mergeCell ref="I80:I81"/>
    <mergeCell ref="H69:H70"/>
    <mergeCell ref="I69:I70"/>
    <mergeCell ref="H71:H72"/>
    <mergeCell ref="I71:I72"/>
    <mergeCell ref="H73:H74"/>
    <mergeCell ref="I73:I74"/>
    <mergeCell ref="H76:H77"/>
    <mergeCell ref="I76:I77"/>
    <mergeCell ref="H78:H79"/>
    <mergeCell ref="I78:I79"/>
  </mergeCells>
  <phoneticPr fontId="19" type="noConversion"/>
  <pageMargins left="0.511811024" right="0.511811024" top="0.78740157499999996" bottom="0.78740157499999996" header="0.31496062000000002" footer="0.31496062000000002"/>
  <pageSetup paperSize="9" scale="18" orientation="portrait" r:id="rId1"/>
  <rowBreaks count="2" manualBreakCount="2">
    <brk id="60" max="4" man="1"/>
    <brk id="74" max="4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5">
    <tabColor rgb="FF00B050"/>
    <pageSetUpPr fitToPage="1"/>
  </sheetPr>
  <dimension ref="A1:Y26"/>
  <sheetViews>
    <sheetView showGridLines="0" topLeftCell="A22" zoomScale="70" zoomScaleNormal="70" zoomScaleSheetLayoutView="80" workbookViewId="0">
      <selection activeCell="D30" sqref="A27:D30"/>
    </sheetView>
  </sheetViews>
  <sheetFormatPr defaultColWidth="9.140625" defaultRowHeight="26.25" x14ac:dyDescent="0.4"/>
  <cols>
    <col min="1" max="1" width="29.85546875" style="113" bestFit="1" customWidth="1"/>
    <col min="2" max="2" width="13" style="113" bestFit="1" customWidth="1"/>
    <col min="3" max="3" width="41.7109375" style="113" customWidth="1"/>
    <col min="4" max="4" width="57" style="113" customWidth="1"/>
    <col min="5" max="5" width="41.42578125" style="113" customWidth="1"/>
    <col min="6" max="8" width="20" style="113" customWidth="1"/>
    <col min="9" max="9" width="15" style="113" customWidth="1"/>
    <col min="10" max="10" width="29.5703125" style="113" customWidth="1"/>
    <col min="11" max="11" width="26.28515625" style="113" customWidth="1"/>
    <col min="12" max="18" width="9.140625" style="113"/>
    <col min="19" max="19" width="31" style="113" customWidth="1"/>
    <col min="20" max="25" width="9.140625" style="113"/>
    <col min="26" max="16384" width="9.140625" style="129"/>
  </cols>
  <sheetData>
    <row r="1" spans="1:25" s="171" customFormat="1" x14ac:dyDescent="0.25">
      <c r="A1" s="299" t="str">
        <f>'Indicadores e Metas'!A1</f>
        <v xml:space="preserve">CAU/UF:  </v>
      </c>
      <c r="B1" s="300"/>
      <c r="C1" s="300"/>
      <c r="D1" s="300"/>
      <c r="E1" s="300"/>
      <c r="F1" s="300"/>
      <c r="G1" s="300"/>
      <c r="H1" s="300"/>
      <c r="I1" s="300"/>
      <c r="J1" s="300"/>
      <c r="K1" s="170"/>
      <c r="L1" s="170"/>
      <c r="M1" s="170"/>
      <c r="N1" s="170"/>
      <c r="O1" s="170"/>
      <c r="P1" s="170"/>
      <c r="Q1" s="170"/>
      <c r="R1" s="170"/>
      <c r="S1" s="170"/>
      <c r="T1" s="170"/>
      <c r="U1" s="170"/>
      <c r="V1" s="170"/>
      <c r="W1" s="170"/>
      <c r="X1" s="170"/>
      <c r="Y1" s="170"/>
    </row>
    <row r="2" spans="1:25" s="171" customFormat="1" x14ac:dyDescent="0.25">
      <c r="A2" s="299" t="s">
        <v>352</v>
      </c>
      <c r="B2" s="300"/>
      <c r="C2" s="300"/>
      <c r="D2" s="300"/>
      <c r="E2" s="300"/>
      <c r="F2" s="300"/>
      <c r="G2" s="300"/>
      <c r="H2" s="300"/>
      <c r="I2" s="300"/>
      <c r="J2" s="300"/>
      <c r="K2" s="170"/>
      <c r="L2" s="170"/>
      <c r="M2" s="170"/>
      <c r="N2" s="170"/>
      <c r="O2" s="170"/>
      <c r="P2" s="170"/>
      <c r="Q2" s="170"/>
      <c r="R2" s="170"/>
      <c r="S2" s="170"/>
      <c r="T2" s="170"/>
      <c r="U2" s="170"/>
      <c r="V2" s="170"/>
      <c r="W2" s="170"/>
      <c r="X2" s="170"/>
      <c r="Y2" s="170"/>
    </row>
    <row r="3" spans="1:25" s="151" customFormat="1" x14ac:dyDescent="0.4">
      <c r="A3" s="172"/>
      <c r="B3" s="172"/>
      <c r="C3" s="172"/>
      <c r="D3" s="172"/>
      <c r="E3" s="172"/>
      <c r="F3" s="172"/>
      <c r="G3" s="172"/>
      <c r="H3" s="172"/>
      <c r="I3" s="172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W3" s="90"/>
      <c r="X3" s="90"/>
      <c r="Y3" s="90"/>
    </row>
    <row r="4" spans="1:25" s="171" customFormat="1" x14ac:dyDescent="0.25">
      <c r="A4" s="296" t="s">
        <v>48</v>
      </c>
      <c r="B4" s="297"/>
      <c r="C4" s="297"/>
      <c r="D4" s="297"/>
      <c r="E4" s="297"/>
      <c r="F4" s="297"/>
      <c r="G4" s="297"/>
      <c r="H4" s="297"/>
      <c r="I4" s="297"/>
      <c r="J4" s="298"/>
      <c r="K4" s="170"/>
      <c r="L4" s="170"/>
      <c r="M4" s="170"/>
      <c r="N4" s="170"/>
      <c r="O4" s="170"/>
      <c r="P4" s="170"/>
      <c r="Q4" s="170"/>
      <c r="R4" s="170"/>
      <c r="S4" s="170"/>
      <c r="T4" s="170"/>
      <c r="U4" s="170"/>
      <c r="V4" s="170"/>
      <c r="W4" s="170"/>
      <c r="X4" s="170"/>
      <c r="Y4" s="170"/>
    </row>
    <row r="5" spans="1:25" s="171" customFormat="1" ht="26.25" customHeight="1" thickBot="1" x14ac:dyDescent="0.4">
      <c r="A5" s="293" t="s">
        <v>1</v>
      </c>
      <c r="B5" s="288" t="s">
        <v>348</v>
      </c>
      <c r="C5" s="288" t="s">
        <v>2</v>
      </c>
      <c r="D5" s="288" t="s">
        <v>28</v>
      </c>
      <c r="E5" s="287" t="s">
        <v>349</v>
      </c>
      <c r="F5" s="287" t="s">
        <v>364</v>
      </c>
      <c r="G5" s="287" t="s">
        <v>365</v>
      </c>
      <c r="H5" s="287" t="s">
        <v>366</v>
      </c>
      <c r="I5" s="180" t="s">
        <v>356</v>
      </c>
      <c r="J5" s="295" t="s">
        <v>347</v>
      </c>
      <c r="K5" s="170"/>
      <c r="L5" s="204" t="s">
        <v>363</v>
      </c>
      <c r="M5" s="205"/>
      <c r="N5" s="205"/>
      <c r="O5" s="205"/>
      <c r="P5" s="205"/>
      <c r="Q5" s="205"/>
      <c r="R5" s="205"/>
      <c r="S5" s="206"/>
      <c r="T5" s="170"/>
      <c r="U5" s="170"/>
      <c r="V5" s="170"/>
      <c r="W5" s="170"/>
      <c r="X5" s="170"/>
      <c r="Y5" s="170"/>
    </row>
    <row r="6" spans="1:25" s="171" customFormat="1" ht="48.75" customHeight="1" x14ac:dyDescent="0.25">
      <c r="A6" s="294"/>
      <c r="B6" s="295"/>
      <c r="C6" s="295"/>
      <c r="D6" s="295"/>
      <c r="E6" s="288"/>
      <c r="F6" s="288"/>
      <c r="G6" s="288"/>
      <c r="H6" s="288"/>
      <c r="I6" s="173" t="s">
        <v>367</v>
      </c>
      <c r="J6" s="295"/>
      <c r="K6" s="170"/>
      <c r="L6" s="301" t="s">
        <v>369</v>
      </c>
      <c r="M6" s="275"/>
      <c r="N6" s="275"/>
      <c r="O6" s="275"/>
      <c r="P6" s="275"/>
      <c r="Q6" s="275"/>
      <c r="R6" s="275"/>
      <c r="S6" s="302"/>
      <c r="T6" s="170"/>
      <c r="U6" s="170"/>
      <c r="V6" s="170"/>
      <c r="W6" s="170"/>
      <c r="X6" s="170"/>
      <c r="Y6" s="170"/>
    </row>
    <row r="7" spans="1:25" s="171" customFormat="1" ht="63" x14ac:dyDescent="0.25">
      <c r="A7" s="212" t="s">
        <v>391</v>
      </c>
      <c r="B7" s="183" t="s">
        <v>236</v>
      </c>
      <c r="C7" s="214" t="s">
        <v>377</v>
      </c>
      <c r="D7" s="216" t="s">
        <v>23</v>
      </c>
      <c r="E7" s="219" t="s">
        <v>398</v>
      </c>
      <c r="F7" s="220">
        <v>35126.080000000002</v>
      </c>
      <c r="G7" s="211">
        <v>35126.080000000002</v>
      </c>
      <c r="H7" s="211">
        <v>35126.080000000002</v>
      </c>
      <c r="I7" s="123">
        <f>IFERROR(H7/G7*100,)</f>
        <v>100</v>
      </c>
      <c r="J7" s="191" t="s">
        <v>411</v>
      </c>
      <c r="K7" s="170"/>
      <c r="L7" s="301"/>
      <c r="M7" s="275"/>
      <c r="N7" s="275"/>
      <c r="O7" s="275"/>
      <c r="P7" s="275"/>
      <c r="Q7" s="275"/>
      <c r="R7" s="275"/>
      <c r="S7" s="302"/>
      <c r="T7" s="170"/>
      <c r="U7" s="170"/>
      <c r="V7" s="170"/>
      <c r="W7" s="170"/>
      <c r="X7" s="170"/>
      <c r="Y7" s="170"/>
    </row>
    <row r="8" spans="1:25" s="171" customFormat="1" ht="47.25" x14ac:dyDescent="0.25">
      <c r="A8" s="215" t="s">
        <v>392</v>
      </c>
      <c r="B8" s="183" t="s">
        <v>236</v>
      </c>
      <c r="C8" s="214" t="s">
        <v>378</v>
      </c>
      <c r="D8" s="217" t="s">
        <v>23</v>
      </c>
      <c r="E8" s="218" t="s">
        <v>399</v>
      </c>
      <c r="F8" s="220">
        <v>21000</v>
      </c>
      <c r="G8" s="211">
        <v>17999.990000000002</v>
      </c>
      <c r="H8" s="211">
        <f>0</f>
        <v>0</v>
      </c>
      <c r="I8" s="123">
        <f t="shared" ref="I8:I21" si="0">IFERROR(H8/G8*100,)</f>
        <v>0</v>
      </c>
      <c r="J8" s="191" t="s">
        <v>411</v>
      </c>
      <c r="K8" s="170"/>
      <c r="L8" s="303"/>
      <c r="M8" s="304"/>
      <c r="N8" s="304"/>
      <c r="O8" s="304"/>
      <c r="P8" s="304"/>
      <c r="Q8" s="304"/>
      <c r="R8" s="304"/>
      <c r="S8" s="305"/>
      <c r="T8" s="170"/>
      <c r="U8" s="170"/>
      <c r="V8" s="170"/>
      <c r="W8" s="170"/>
      <c r="X8" s="170"/>
      <c r="Y8" s="170"/>
    </row>
    <row r="9" spans="1:25" s="171" customFormat="1" ht="78.75" x14ac:dyDescent="0.35">
      <c r="A9" s="215" t="s">
        <v>392</v>
      </c>
      <c r="B9" s="183" t="s">
        <v>236</v>
      </c>
      <c r="C9" s="214" t="s">
        <v>379</v>
      </c>
      <c r="D9" s="216" t="s">
        <v>15</v>
      </c>
      <c r="E9" s="218" t="s">
        <v>400</v>
      </c>
      <c r="F9" s="213">
        <v>108904.02</v>
      </c>
      <c r="G9" s="211">
        <f>F9</f>
        <v>108904.02</v>
      </c>
      <c r="H9" s="211">
        <v>108904.02</v>
      </c>
      <c r="I9" s="123">
        <f t="shared" si="0"/>
        <v>100</v>
      </c>
      <c r="J9" s="191" t="s">
        <v>411</v>
      </c>
      <c r="K9" s="170"/>
      <c r="L9" s="201"/>
      <c r="M9" s="202"/>
      <c r="N9" s="202"/>
      <c r="O9" s="202"/>
      <c r="P9" s="202"/>
      <c r="Q9" s="202"/>
      <c r="R9" s="202"/>
      <c r="S9" s="202"/>
      <c r="T9" s="203"/>
      <c r="U9" s="170"/>
      <c r="V9" s="170"/>
      <c r="W9" s="170"/>
      <c r="X9" s="170"/>
      <c r="Y9" s="170"/>
    </row>
    <row r="10" spans="1:25" s="171" customFormat="1" ht="78.75" x14ac:dyDescent="0.25">
      <c r="A10" s="215" t="s">
        <v>392</v>
      </c>
      <c r="B10" s="183" t="s">
        <v>236</v>
      </c>
      <c r="C10" s="214" t="s">
        <v>380</v>
      </c>
      <c r="D10" s="216" t="s">
        <v>83</v>
      </c>
      <c r="E10" s="218" t="s">
        <v>400</v>
      </c>
      <c r="F10" s="213">
        <v>15940.05</v>
      </c>
      <c r="G10" s="211">
        <v>15940.06</v>
      </c>
      <c r="H10" s="211">
        <v>15940.06</v>
      </c>
      <c r="I10" s="123">
        <f t="shared" si="0"/>
        <v>100</v>
      </c>
      <c r="J10" s="191" t="s">
        <v>411</v>
      </c>
      <c r="K10" s="170"/>
      <c r="L10" s="306"/>
      <c r="M10" s="306"/>
      <c r="N10" s="306"/>
      <c r="O10" s="306"/>
      <c r="P10" s="306"/>
      <c r="Q10" s="306"/>
      <c r="R10" s="306"/>
      <c r="S10" s="306"/>
      <c r="T10" s="170"/>
      <c r="U10" s="170"/>
      <c r="V10" s="170"/>
      <c r="W10" s="170"/>
      <c r="X10" s="170"/>
      <c r="Y10" s="170"/>
    </row>
    <row r="11" spans="1:25" s="171" customFormat="1" ht="63" x14ac:dyDescent="0.25">
      <c r="A11" s="212" t="s">
        <v>392</v>
      </c>
      <c r="B11" s="183" t="s">
        <v>236</v>
      </c>
      <c r="C11" s="214" t="s">
        <v>381</v>
      </c>
      <c r="D11" s="216" t="s">
        <v>23</v>
      </c>
      <c r="E11" s="219" t="s">
        <v>401</v>
      </c>
      <c r="F11" s="220">
        <v>40804.6</v>
      </c>
      <c r="G11" s="211">
        <v>40804.6</v>
      </c>
      <c r="H11" s="211">
        <v>39070.79</v>
      </c>
      <c r="I11" s="123">
        <f t="shared" si="0"/>
        <v>95.75094474642566</v>
      </c>
      <c r="J11" s="191" t="s">
        <v>411</v>
      </c>
      <c r="K11" s="170"/>
      <c r="L11" s="200"/>
      <c r="M11" s="200"/>
      <c r="N11" s="200"/>
      <c r="O11" s="200"/>
      <c r="P11" s="200"/>
      <c r="Q11" s="200"/>
      <c r="R11" s="200"/>
      <c r="S11" s="200"/>
      <c r="T11" s="170"/>
      <c r="U11" s="170"/>
      <c r="V11" s="170"/>
      <c r="W11" s="170"/>
      <c r="X11" s="170"/>
      <c r="Y11" s="170"/>
    </row>
    <row r="12" spans="1:25" s="171" customFormat="1" ht="94.5" x14ac:dyDescent="0.25">
      <c r="A12" s="212" t="s">
        <v>393</v>
      </c>
      <c r="B12" s="183" t="s">
        <v>236</v>
      </c>
      <c r="C12" s="214" t="s">
        <v>382</v>
      </c>
      <c r="D12" s="216" t="s">
        <v>83</v>
      </c>
      <c r="E12" s="219" t="s">
        <v>402</v>
      </c>
      <c r="F12" s="220">
        <v>258170.27</v>
      </c>
      <c r="G12" s="211">
        <v>258170.27</v>
      </c>
      <c r="H12" s="211">
        <v>221553.06</v>
      </c>
      <c r="I12" s="123">
        <f t="shared" si="0"/>
        <v>85.816643411342454</v>
      </c>
      <c r="J12" s="191" t="s">
        <v>412</v>
      </c>
      <c r="K12" s="170"/>
      <c r="L12" s="170"/>
      <c r="M12" s="170"/>
      <c r="N12" s="170"/>
      <c r="O12" s="170"/>
      <c r="P12" s="170"/>
      <c r="Q12" s="170"/>
      <c r="R12" s="170"/>
      <c r="S12" s="170"/>
      <c r="T12" s="170"/>
      <c r="U12" s="170"/>
      <c r="V12" s="170"/>
      <c r="W12" s="170"/>
      <c r="X12" s="170"/>
      <c r="Y12" s="170"/>
    </row>
    <row r="13" spans="1:25" s="171" customFormat="1" ht="94.5" x14ac:dyDescent="0.25">
      <c r="A13" s="215" t="s">
        <v>392</v>
      </c>
      <c r="B13" s="183" t="s">
        <v>236</v>
      </c>
      <c r="C13" s="214" t="s">
        <v>383</v>
      </c>
      <c r="D13" s="216" t="s">
        <v>24</v>
      </c>
      <c r="E13" s="219" t="s">
        <v>402</v>
      </c>
      <c r="F13" s="220">
        <v>707763.38482728845</v>
      </c>
      <c r="G13" s="211">
        <v>707763.38</v>
      </c>
      <c r="H13" s="211">
        <v>646953.73</v>
      </c>
      <c r="I13" s="123">
        <f t="shared" si="0"/>
        <v>91.408194925258783</v>
      </c>
      <c r="J13" s="191" t="s">
        <v>411</v>
      </c>
      <c r="K13" s="170"/>
      <c r="L13" s="170"/>
      <c r="M13" s="170"/>
      <c r="N13" s="170"/>
      <c r="O13" s="170"/>
      <c r="P13" s="170"/>
      <c r="Q13" s="170"/>
      <c r="R13" s="170"/>
      <c r="S13" s="170"/>
      <c r="T13" s="170"/>
      <c r="U13" s="170"/>
      <c r="V13" s="170"/>
      <c r="W13" s="170"/>
      <c r="X13" s="170"/>
      <c r="Y13" s="170"/>
    </row>
    <row r="14" spans="1:25" s="171" customFormat="1" ht="94.5" x14ac:dyDescent="0.25">
      <c r="A14" s="212" t="s">
        <v>394</v>
      </c>
      <c r="B14" s="183" t="s">
        <v>236</v>
      </c>
      <c r="C14" s="214" t="s">
        <v>295</v>
      </c>
      <c r="D14" s="216" t="s">
        <v>15</v>
      </c>
      <c r="E14" s="219" t="s">
        <v>403</v>
      </c>
      <c r="F14" s="220">
        <v>305427.01</v>
      </c>
      <c r="G14" s="211">
        <v>305427.01</v>
      </c>
      <c r="H14" s="211">
        <v>258372.55</v>
      </c>
      <c r="I14" s="123">
        <f t="shared" si="0"/>
        <v>84.593877273656958</v>
      </c>
      <c r="J14" s="191" t="s">
        <v>411</v>
      </c>
      <c r="K14" s="170"/>
      <c r="L14" s="170"/>
      <c r="M14" s="170"/>
      <c r="N14" s="170"/>
      <c r="O14" s="170"/>
      <c r="P14" s="170"/>
      <c r="Q14" s="170"/>
      <c r="R14" s="170"/>
      <c r="S14" s="170"/>
      <c r="T14" s="170"/>
      <c r="U14" s="170"/>
      <c r="V14" s="170"/>
      <c r="W14" s="170"/>
      <c r="X14" s="170"/>
      <c r="Y14" s="170"/>
    </row>
    <row r="15" spans="1:25" s="171" customFormat="1" ht="78.75" x14ac:dyDescent="0.25">
      <c r="A15" s="215" t="s">
        <v>393</v>
      </c>
      <c r="B15" s="183" t="s">
        <v>235</v>
      </c>
      <c r="C15" s="214" t="s">
        <v>384</v>
      </c>
      <c r="D15" s="216" t="s">
        <v>17</v>
      </c>
      <c r="E15" s="219" t="s">
        <v>404</v>
      </c>
      <c r="F15" s="220">
        <v>5000</v>
      </c>
      <c r="G15" s="211">
        <v>5000</v>
      </c>
      <c r="H15" s="211">
        <f>0</f>
        <v>0</v>
      </c>
      <c r="I15" s="123">
        <f t="shared" si="0"/>
        <v>0</v>
      </c>
      <c r="J15" s="191" t="s">
        <v>413</v>
      </c>
      <c r="K15" s="170"/>
      <c r="L15" s="170"/>
      <c r="M15" s="170"/>
      <c r="N15" s="170"/>
      <c r="O15" s="170"/>
      <c r="P15" s="170"/>
      <c r="Q15" s="170"/>
      <c r="R15" s="170"/>
      <c r="S15" s="170"/>
      <c r="T15" s="170"/>
      <c r="U15" s="170"/>
      <c r="V15" s="170"/>
      <c r="W15" s="170"/>
      <c r="X15" s="170"/>
      <c r="Y15" s="170"/>
    </row>
    <row r="16" spans="1:25" s="171" customFormat="1" ht="94.5" x14ac:dyDescent="0.25">
      <c r="A16" s="212" t="s">
        <v>392</v>
      </c>
      <c r="B16" s="183" t="s">
        <v>235</v>
      </c>
      <c r="C16" s="214" t="s">
        <v>385</v>
      </c>
      <c r="D16" s="216" t="s">
        <v>25</v>
      </c>
      <c r="E16" s="219" t="s">
        <v>405</v>
      </c>
      <c r="F16" s="220">
        <v>22000</v>
      </c>
      <c r="G16" s="211">
        <v>22000</v>
      </c>
      <c r="H16" s="211">
        <v>13838.45</v>
      </c>
      <c r="I16" s="123">
        <f t="shared" si="0"/>
        <v>62.902045454545465</v>
      </c>
      <c r="J16" s="191" t="s">
        <v>412</v>
      </c>
      <c r="K16" s="170"/>
      <c r="L16" s="170"/>
      <c r="M16" s="170"/>
      <c r="N16" s="170"/>
      <c r="O16" s="170"/>
      <c r="P16" s="170"/>
      <c r="Q16" s="170"/>
      <c r="R16" s="170"/>
      <c r="S16" s="170"/>
      <c r="T16" s="170"/>
      <c r="U16" s="170"/>
      <c r="V16" s="170"/>
      <c r="W16" s="170"/>
      <c r="X16" s="170"/>
      <c r="Y16" s="170"/>
    </row>
    <row r="17" spans="1:25" s="171" customFormat="1" ht="94.5" x14ac:dyDescent="0.25">
      <c r="A17" s="215" t="s">
        <v>392</v>
      </c>
      <c r="B17" s="183" t="s">
        <v>235</v>
      </c>
      <c r="C17" s="214" t="s">
        <v>386</v>
      </c>
      <c r="D17" s="216" t="s">
        <v>20</v>
      </c>
      <c r="E17" s="219" t="s">
        <v>406</v>
      </c>
      <c r="F17" s="220">
        <v>99266.59</v>
      </c>
      <c r="G17" s="211">
        <v>99266.59</v>
      </c>
      <c r="H17" s="211">
        <v>81825.94</v>
      </c>
      <c r="I17" s="123">
        <f t="shared" si="0"/>
        <v>82.430493482248153</v>
      </c>
      <c r="J17" s="191" t="s">
        <v>411</v>
      </c>
      <c r="K17" s="170"/>
      <c r="L17" s="170"/>
      <c r="M17" s="170"/>
      <c r="N17" s="170"/>
      <c r="O17" s="170"/>
      <c r="P17" s="170"/>
      <c r="Q17" s="170"/>
      <c r="R17" s="170"/>
      <c r="S17" s="170"/>
      <c r="T17" s="170"/>
      <c r="U17" s="170"/>
      <c r="V17" s="170"/>
      <c r="W17" s="170"/>
      <c r="X17" s="170"/>
      <c r="Y17" s="170"/>
    </row>
    <row r="18" spans="1:25" s="171" customFormat="1" ht="126" x14ac:dyDescent="0.25">
      <c r="A18" s="215" t="s">
        <v>392</v>
      </c>
      <c r="B18" s="183" t="s">
        <v>235</v>
      </c>
      <c r="C18" s="214" t="s">
        <v>387</v>
      </c>
      <c r="D18" s="216" t="s">
        <v>17</v>
      </c>
      <c r="E18" s="219" t="s">
        <v>407</v>
      </c>
      <c r="F18" s="220">
        <v>63027.57</v>
      </c>
      <c r="G18" s="211">
        <v>63027.57</v>
      </c>
      <c r="H18" s="211">
        <v>53443.7</v>
      </c>
      <c r="I18" s="123">
        <f t="shared" si="0"/>
        <v>84.794162300720146</v>
      </c>
      <c r="J18" s="191" t="s">
        <v>411</v>
      </c>
      <c r="K18" s="170"/>
      <c r="L18" s="170"/>
      <c r="M18" s="170"/>
      <c r="N18" s="170"/>
      <c r="O18" s="170"/>
      <c r="P18" s="170"/>
      <c r="Q18" s="170"/>
      <c r="R18" s="170"/>
      <c r="S18" s="170"/>
      <c r="T18" s="170"/>
      <c r="U18" s="170"/>
      <c r="V18" s="170"/>
      <c r="W18" s="170"/>
      <c r="X18" s="170"/>
      <c r="Y18" s="170"/>
    </row>
    <row r="19" spans="1:25" s="171" customFormat="1" ht="78.75" x14ac:dyDescent="0.25">
      <c r="A19" s="212" t="s">
        <v>395</v>
      </c>
      <c r="B19" s="183" t="s">
        <v>235</v>
      </c>
      <c r="C19" s="214" t="s">
        <v>388</v>
      </c>
      <c r="D19" s="216" t="s">
        <v>83</v>
      </c>
      <c r="E19" s="219" t="s">
        <v>408</v>
      </c>
      <c r="F19" s="220">
        <v>530000</v>
      </c>
      <c r="G19" s="211">
        <v>530000</v>
      </c>
      <c r="H19" s="211">
        <v>25996.49</v>
      </c>
      <c r="I19" s="123">
        <f t="shared" si="0"/>
        <v>4.9049981132075473</v>
      </c>
      <c r="J19" s="191" t="s">
        <v>412</v>
      </c>
      <c r="K19" s="170"/>
      <c r="L19" s="170"/>
      <c r="M19" s="170"/>
      <c r="N19" s="170"/>
      <c r="O19" s="170"/>
      <c r="P19" s="170"/>
      <c r="Q19" s="170"/>
      <c r="R19" s="170"/>
      <c r="S19" s="170"/>
      <c r="T19" s="170"/>
      <c r="U19" s="170"/>
      <c r="V19" s="170"/>
      <c r="W19" s="170"/>
      <c r="X19" s="170"/>
      <c r="Y19" s="170"/>
    </row>
    <row r="20" spans="1:25" s="171" customFormat="1" ht="94.5" x14ac:dyDescent="0.25">
      <c r="A20" s="212" t="s">
        <v>396</v>
      </c>
      <c r="B20" s="183" t="s">
        <v>235</v>
      </c>
      <c r="C20" s="214" t="s">
        <v>389</v>
      </c>
      <c r="D20" s="216" t="s">
        <v>22</v>
      </c>
      <c r="E20" s="219" t="s">
        <v>409</v>
      </c>
      <c r="F20" s="220">
        <v>83786.55</v>
      </c>
      <c r="G20" s="211">
        <v>83786.55</v>
      </c>
      <c r="H20" s="211">
        <v>83786.55</v>
      </c>
      <c r="I20" s="123">
        <f t="shared" si="0"/>
        <v>100</v>
      </c>
      <c r="J20" s="191" t="s">
        <v>411</v>
      </c>
      <c r="K20" s="170"/>
      <c r="L20" s="170"/>
      <c r="M20" s="170"/>
      <c r="N20" s="170"/>
      <c r="O20" s="170"/>
      <c r="P20" s="170"/>
      <c r="Q20" s="170"/>
      <c r="R20" s="170"/>
      <c r="S20" s="170"/>
      <c r="T20" s="170"/>
      <c r="U20" s="170"/>
      <c r="V20" s="170"/>
      <c r="W20" s="170"/>
      <c r="X20" s="170"/>
      <c r="Y20" s="170"/>
    </row>
    <row r="21" spans="1:25" s="171" customFormat="1" ht="172.5" customHeight="1" x14ac:dyDescent="0.25">
      <c r="A21" s="212" t="s">
        <v>397</v>
      </c>
      <c r="B21" s="183" t="s">
        <v>235</v>
      </c>
      <c r="C21" s="214" t="s">
        <v>390</v>
      </c>
      <c r="D21" s="216" t="s">
        <v>89</v>
      </c>
      <c r="E21" s="219" t="s">
        <v>410</v>
      </c>
      <c r="F21" s="220">
        <v>19850</v>
      </c>
      <c r="G21" s="211">
        <v>22850</v>
      </c>
      <c r="H21" s="211">
        <v>21102.880000000001</v>
      </c>
      <c r="I21" s="123">
        <f t="shared" si="0"/>
        <v>92.353960612691466</v>
      </c>
      <c r="J21" s="191" t="s">
        <v>411</v>
      </c>
      <c r="K21" s="170"/>
      <c r="L21" s="170"/>
      <c r="M21" s="170"/>
      <c r="N21" s="170"/>
      <c r="O21" s="170"/>
      <c r="P21" s="170"/>
      <c r="Q21" s="170"/>
      <c r="R21" s="170"/>
      <c r="S21" s="170"/>
      <c r="T21" s="170"/>
      <c r="U21" s="170"/>
      <c r="V21" s="170"/>
      <c r="W21" s="170"/>
      <c r="X21" s="170"/>
      <c r="Y21" s="170"/>
    </row>
    <row r="22" spans="1:25" s="171" customFormat="1" ht="27" thickBot="1" x14ac:dyDescent="0.3">
      <c r="A22" s="290" t="s">
        <v>3</v>
      </c>
      <c r="B22" s="291"/>
      <c r="C22" s="291"/>
      <c r="D22" s="291"/>
      <c r="E22" s="292"/>
      <c r="F22" s="124">
        <f>SUM(F7:F21)</f>
        <v>2316066.1248272881</v>
      </c>
      <c r="G22" s="124">
        <f>SUM(G7:G21)</f>
        <v>2316066.12</v>
      </c>
      <c r="H22" s="124">
        <f>SUM(H7:H21)</f>
        <v>1605914.2999999998</v>
      </c>
      <c r="I22" s="124">
        <f>SUM(I7:I21)</f>
        <v>1084.9553203200967</v>
      </c>
      <c r="J22" s="170"/>
      <c r="K22" s="170"/>
      <c r="L22" s="170"/>
      <c r="M22" s="170"/>
      <c r="N22" s="170"/>
      <c r="O22" s="170"/>
      <c r="P22" s="170"/>
      <c r="Q22" s="170"/>
      <c r="R22" s="170"/>
      <c r="S22" s="170"/>
      <c r="T22" s="170"/>
      <c r="U22" s="170"/>
      <c r="V22" s="170"/>
      <c r="W22" s="170"/>
      <c r="X22" s="170"/>
      <c r="Y22" s="170"/>
    </row>
    <row r="23" spans="1:25" s="171" customFormat="1" x14ac:dyDescent="0.25">
      <c r="A23" s="289" t="s">
        <v>234</v>
      </c>
      <c r="B23" s="289"/>
      <c r="C23" s="289"/>
      <c r="D23" s="289"/>
      <c r="E23" s="289"/>
      <c r="F23" s="174"/>
      <c r="G23" s="174" t="b">
        <f>G22=F22</f>
        <v>0</v>
      </c>
      <c r="H23" s="174"/>
      <c r="I23" s="174"/>
      <c r="J23" s="170"/>
      <c r="K23" s="170"/>
      <c r="L23" s="170"/>
      <c r="M23" s="170"/>
      <c r="N23" s="170"/>
      <c r="O23" s="170"/>
      <c r="P23" s="170"/>
      <c r="Q23" s="170"/>
      <c r="R23" s="170"/>
      <c r="S23" s="170"/>
      <c r="T23" s="170"/>
      <c r="U23" s="170"/>
      <c r="V23" s="170"/>
      <c r="W23" s="170"/>
      <c r="X23" s="170"/>
      <c r="Y23" s="170"/>
    </row>
    <row r="24" spans="1:25" s="171" customFormat="1" x14ac:dyDescent="0.25">
      <c r="A24" s="285" t="s">
        <v>182</v>
      </c>
      <c r="B24" s="285"/>
      <c r="C24" s="285"/>
      <c r="D24" s="285"/>
      <c r="E24" s="285"/>
      <c r="F24" s="285"/>
      <c r="G24" s="286"/>
      <c r="H24" s="285"/>
      <c r="I24" s="285"/>
      <c r="J24" s="170"/>
      <c r="K24" s="170"/>
      <c r="L24" s="170"/>
      <c r="M24" s="170"/>
      <c r="N24" s="170"/>
      <c r="O24" s="170"/>
      <c r="P24" s="170"/>
      <c r="Q24" s="170"/>
      <c r="R24" s="170"/>
      <c r="S24" s="170"/>
      <c r="T24" s="170"/>
      <c r="U24" s="170"/>
      <c r="V24" s="170"/>
      <c r="W24" s="170"/>
      <c r="X24" s="170"/>
      <c r="Y24" s="170"/>
    </row>
    <row r="25" spans="1:25" s="171" customFormat="1" ht="123.75" customHeight="1" x14ac:dyDescent="0.25">
      <c r="A25" s="283" t="s">
        <v>414</v>
      </c>
      <c r="B25" s="284"/>
      <c r="C25" s="284"/>
      <c r="D25" s="284"/>
      <c r="E25" s="284"/>
      <c r="F25" s="284"/>
      <c r="G25" s="284"/>
      <c r="H25" s="284"/>
      <c r="I25" s="284"/>
      <c r="J25" s="170"/>
      <c r="K25" s="170"/>
      <c r="L25" s="170"/>
      <c r="M25" s="170"/>
      <c r="N25" s="170"/>
      <c r="O25" s="170"/>
      <c r="P25" s="170"/>
      <c r="Q25" s="170"/>
      <c r="R25" s="170"/>
      <c r="S25" s="170"/>
      <c r="T25" s="170"/>
      <c r="U25" s="170"/>
      <c r="V25" s="170"/>
      <c r="W25" s="170"/>
      <c r="X25" s="170"/>
      <c r="Y25" s="170"/>
    </row>
    <row r="26" spans="1:25" s="171" customFormat="1" x14ac:dyDescent="0.25">
      <c r="A26" s="282"/>
      <c r="B26" s="282"/>
      <c r="C26" s="282"/>
      <c r="D26" s="282"/>
      <c r="E26" s="282"/>
      <c r="F26" s="282"/>
      <c r="G26" s="282"/>
      <c r="H26" s="282"/>
      <c r="I26" s="282"/>
      <c r="J26" s="170"/>
      <c r="K26" s="170"/>
      <c r="L26" s="170"/>
      <c r="M26" s="170"/>
      <c r="N26" s="170"/>
      <c r="O26" s="170"/>
      <c r="P26" s="170"/>
      <c r="Q26" s="170"/>
      <c r="R26" s="170"/>
      <c r="S26" s="170"/>
      <c r="T26" s="170"/>
      <c r="U26" s="170"/>
      <c r="V26" s="170"/>
      <c r="W26" s="170"/>
      <c r="X26" s="170"/>
      <c r="Y26" s="170"/>
    </row>
  </sheetData>
  <sheetProtection formatCells="0" formatRows="0" insertRows="0" deleteRows="0"/>
  <mergeCells count="19">
    <mergeCell ref="A4:J4"/>
    <mergeCell ref="A1:J1"/>
    <mergeCell ref="A2:J2"/>
    <mergeCell ref="L6:S8"/>
    <mergeCell ref="L10:S10"/>
    <mergeCell ref="J5:J6"/>
    <mergeCell ref="A26:I26"/>
    <mergeCell ref="A25:I25"/>
    <mergeCell ref="A24:I24"/>
    <mergeCell ref="F5:F6"/>
    <mergeCell ref="H5:H6"/>
    <mergeCell ref="A23:E23"/>
    <mergeCell ref="A22:E22"/>
    <mergeCell ref="G5:G6"/>
    <mergeCell ref="E5:E6"/>
    <mergeCell ref="A5:A6"/>
    <mergeCell ref="B5:B6"/>
    <mergeCell ref="C5:C6"/>
    <mergeCell ref="D5:D6"/>
  </mergeCells>
  <phoneticPr fontId="19" type="noConversion"/>
  <conditionalFormatting sqref="F23:I23">
    <cfRule type="cellIs" dxfId="25" priority="6" operator="equal">
      <formula>TRUE</formula>
    </cfRule>
  </conditionalFormatting>
  <conditionalFormatting sqref="I7">
    <cfRule type="cellIs" dxfId="24" priority="4" operator="greaterThan">
      <formula>100.01</formula>
    </cfRule>
  </conditionalFormatting>
  <conditionalFormatting sqref="I7">
    <cfRule type="cellIs" dxfId="23" priority="3" operator="lessThan">
      <formula>100.01</formula>
    </cfRule>
  </conditionalFormatting>
  <conditionalFormatting sqref="I8:I21">
    <cfRule type="cellIs" dxfId="22" priority="2" operator="greaterThan">
      <formula>100.01</formula>
    </cfRule>
  </conditionalFormatting>
  <conditionalFormatting sqref="I8:I21">
    <cfRule type="cellIs" dxfId="21" priority="1" operator="lessThan">
      <formula>100.01</formula>
    </cfRule>
  </conditionalFormatting>
  <dataValidations count="1">
    <dataValidation type="list" allowBlank="1" showInputMessage="1" showErrorMessage="1" sqref="J7:J21" xr:uid="{7913D421-2BFF-44A8-BEC9-944F683D212C}">
      <mc:AlternateContent xmlns:x12ac="http://schemas.microsoft.com/office/spreadsheetml/2011/1/ac" xmlns:mc="http://schemas.openxmlformats.org/markup-compatibility/2006">
        <mc:Choice Requires="x12ac">
          <x12ac:list>"""Concluído""","""Parcialmente Concluído""","""Não Realizado"""</x12ac:list>
        </mc:Choice>
        <mc:Fallback>
          <formula1>"""Concluído"",""Parcialmente Concluído"",""Não Realizado"""</formula1>
        </mc:Fallback>
      </mc:AlternateContent>
    </dataValidation>
  </dataValidations>
  <pageMargins left="0.23622047244094491" right="0.23622047244094491" top="0.27" bottom="0.17" header="0.31496062992125984" footer="0.31496062992125984"/>
  <pageSetup paperSize="9" scale="55" fitToHeight="0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300-000001000000}">
          <x14:formula1>
            <xm:f>'Validação de dados'!$D$1:$D$16</xm:f>
          </x14:formula1>
          <xm:sqref>D7:D21</xm:sqref>
        </x14:dataValidation>
        <x14:dataValidation type="list" allowBlank="1" showInputMessage="1" showErrorMessage="1" xr:uid="{9B248433-CA12-4B12-8CCB-0AC4FD039A4C}">
          <x14:formula1>
            <xm:f>'Validação de dados'!$E$1:$E$6</xm:f>
          </x14:formula1>
          <xm:sqref>B7:B21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Plan6">
    <tabColor rgb="FF00B050"/>
  </sheetPr>
  <dimension ref="A1:AC28"/>
  <sheetViews>
    <sheetView zoomScale="90" zoomScaleNormal="90" workbookViewId="0">
      <selection activeCell="F13" sqref="F13"/>
    </sheetView>
  </sheetViews>
  <sheetFormatPr defaultColWidth="9.140625" defaultRowHeight="26.25" zeroHeight="1" x14ac:dyDescent="0.4"/>
  <cols>
    <col min="1" max="1" width="7.85546875" style="88" bestFit="1" customWidth="1"/>
    <col min="2" max="2" width="47.5703125" style="88" bestFit="1" customWidth="1"/>
    <col min="3" max="3" width="10.42578125" style="88" bestFit="1" customWidth="1"/>
    <col min="4" max="4" width="23.85546875" style="88" bestFit="1" customWidth="1"/>
    <col min="5" max="5" width="20.140625" style="88" bestFit="1" customWidth="1"/>
    <col min="6" max="6" width="17.28515625" style="88" customWidth="1"/>
    <col min="7" max="9" width="14" style="88" customWidth="1"/>
    <col min="10" max="10" width="11.7109375" style="88" customWidth="1"/>
    <col min="11" max="11" width="53" style="88" customWidth="1"/>
    <col min="12" max="12" width="10.42578125" style="88" bestFit="1" customWidth="1"/>
    <col min="13" max="13" width="23.85546875" style="88" bestFit="1" customWidth="1"/>
    <col min="14" max="14" width="20.140625" style="88" bestFit="1" customWidth="1"/>
    <col min="15" max="15" width="14.42578125" style="88" bestFit="1" customWidth="1"/>
    <col min="16" max="17" width="17.28515625" style="88" customWidth="1"/>
    <col min="18" max="16384" width="9.140625" style="137"/>
  </cols>
  <sheetData>
    <row r="1" spans="1:29" x14ac:dyDescent="0.4">
      <c r="A1" s="273" t="s">
        <v>354</v>
      </c>
      <c r="B1" s="273"/>
      <c r="C1" s="273"/>
      <c r="D1" s="273"/>
      <c r="E1" s="273"/>
      <c r="F1" s="273"/>
      <c r="G1" s="273"/>
      <c r="H1" s="273"/>
      <c r="I1" s="273"/>
      <c r="J1" s="273"/>
      <c r="K1" s="273"/>
      <c r="L1" s="273"/>
      <c r="M1" s="273"/>
      <c r="N1" s="273"/>
      <c r="O1" s="273"/>
    </row>
    <row r="2" spans="1:29" ht="27" thickBot="1" x14ac:dyDescent="0.45"/>
    <row r="3" spans="1:29" ht="45" customHeight="1" x14ac:dyDescent="0.4">
      <c r="A3" s="309" t="s">
        <v>32</v>
      </c>
      <c r="B3" s="313" t="s">
        <v>33</v>
      </c>
      <c r="C3" s="313"/>
      <c r="D3" s="197" t="s">
        <v>185</v>
      </c>
      <c r="E3" s="197" t="s">
        <v>359</v>
      </c>
      <c r="F3" s="197" t="s">
        <v>358</v>
      </c>
      <c r="G3" s="153"/>
      <c r="H3" s="153"/>
      <c r="I3" s="153"/>
      <c r="J3" s="309" t="s">
        <v>32</v>
      </c>
      <c r="K3" s="313" t="s">
        <v>34</v>
      </c>
      <c r="L3" s="313"/>
      <c r="M3" s="197" t="s">
        <v>185</v>
      </c>
      <c r="N3" s="197" t="s">
        <v>359</v>
      </c>
      <c r="O3" s="10" t="s">
        <v>356</v>
      </c>
      <c r="Q3" s="208" t="s">
        <v>368</v>
      </c>
      <c r="R3" s="187"/>
      <c r="S3" s="187"/>
      <c r="T3" s="187"/>
      <c r="U3" s="187"/>
      <c r="V3" s="187"/>
      <c r="W3" s="187"/>
      <c r="X3" s="187"/>
      <c r="Y3" s="187"/>
      <c r="Z3" s="188"/>
    </row>
    <row r="4" spans="1:29" ht="36" customHeight="1" x14ac:dyDescent="0.4">
      <c r="A4" s="309"/>
      <c r="B4" s="331" t="s">
        <v>124</v>
      </c>
      <c r="C4" s="331"/>
      <c r="D4" s="13">
        <f>'Fontes '!C8</f>
        <v>1667385.76</v>
      </c>
      <c r="E4" s="13">
        <f>'Fontes '!D8</f>
        <v>1807689.2200000002</v>
      </c>
      <c r="F4" s="14">
        <f>IFERROR(E4/D4*100,0)</f>
        <v>108.41457708023128</v>
      </c>
      <c r="G4" s="174" t="b">
        <f>'Fontes '!D8=E4</f>
        <v>1</v>
      </c>
      <c r="I4" s="136"/>
      <c r="J4" s="330"/>
      <c r="K4" s="332" t="s">
        <v>47</v>
      </c>
      <c r="L4" s="332"/>
      <c r="M4" s="139">
        <f>'[3]Anexo 2. Limites Estratégicos'!$L$5</f>
        <v>931760.77482728835</v>
      </c>
      <c r="N4" s="198">
        <v>881054.71999999997</v>
      </c>
      <c r="O4" s="14">
        <f>IFERROR(N4/M4*100,0)</f>
        <v>94.558039338296112</v>
      </c>
      <c r="P4" s="160"/>
      <c r="Q4" s="324" t="s">
        <v>370</v>
      </c>
      <c r="R4" s="325"/>
      <c r="S4" s="325"/>
      <c r="T4" s="325"/>
      <c r="U4" s="325"/>
      <c r="V4" s="325"/>
      <c r="W4" s="325"/>
      <c r="X4" s="325"/>
      <c r="Y4" s="325"/>
      <c r="Z4" s="326"/>
    </row>
    <row r="5" spans="1:29" ht="36" customHeight="1" x14ac:dyDescent="0.4">
      <c r="A5" s="309"/>
      <c r="B5" s="331" t="s">
        <v>35</v>
      </c>
      <c r="C5" s="331"/>
      <c r="D5" s="13">
        <f>'Fontes '!C20</f>
        <v>0</v>
      </c>
      <c r="E5" s="13">
        <f>'Fontes '!D20</f>
        <v>0</v>
      </c>
      <c r="F5" s="14">
        <f t="shared" ref="F5:F8" si="0">IFERROR(E5/D5*100,0)</f>
        <v>0</v>
      </c>
      <c r="G5" s="174" t="b">
        <f>'Fontes '!D20=E5</f>
        <v>1</v>
      </c>
      <c r="I5" s="136"/>
      <c r="J5" s="330"/>
      <c r="K5" s="332" t="s">
        <v>42</v>
      </c>
      <c r="L5" s="332"/>
      <c r="M5" s="139">
        <f>'[3]Anexo 2. Limites Estratégicos'!$L$6</f>
        <v>300</v>
      </c>
      <c r="N5" s="199">
        <v>239.6</v>
      </c>
      <c r="O5" s="14">
        <f>IFERROR(N5/M5*100,0)</f>
        <v>79.86666666666666</v>
      </c>
      <c r="P5" s="160"/>
      <c r="Q5" s="327"/>
      <c r="R5" s="328"/>
      <c r="S5" s="328"/>
      <c r="T5" s="328"/>
      <c r="U5" s="328"/>
      <c r="V5" s="328"/>
      <c r="W5" s="328"/>
      <c r="X5" s="328"/>
      <c r="Y5" s="328"/>
      <c r="Z5" s="329"/>
    </row>
    <row r="6" spans="1:29" ht="36" customHeight="1" x14ac:dyDescent="0.4">
      <c r="A6" s="309"/>
      <c r="B6" s="333" t="s">
        <v>43</v>
      </c>
      <c r="C6" s="333"/>
      <c r="D6" s="154">
        <f>SUM(D4:D5)</f>
        <v>1667385.76</v>
      </c>
      <c r="E6" s="154">
        <f>SUM(E4:E5)</f>
        <v>1807689.2200000002</v>
      </c>
      <c r="F6" s="155">
        <f t="shared" si="0"/>
        <v>108.41457708023128</v>
      </c>
      <c r="G6" s="136"/>
      <c r="I6" s="136"/>
      <c r="J6" s="330"/>
      <c r="K6" s="332" t="s">
        <v>44</v>
      </c>
      <c r="L6" s="332"/>
      <c r="M6" s="163">
        <f>'Fontes '!C7</f>
        <v>1693426.29</v>
      </c>
      <c r="N6" s="164">
        <f>'Fontes '!D7</f>
        <v>1868094.7700000003</v>
      </c>
      <c r="O6" s="14">
        <f>IFERROR(N6/M6*100,0)</f>
        <v>110.31450149507248</v>
      </c>
      <c r="P6" s="160"/>
      <c r="Q6" s="324" t="s">
        <v>371</v>
      </c>
      <c r="R6" s="325"/>
      <c r="S6" s="325"/>
      <c r="T6" s="325"/>
      <c r="U6" s="325"/>
      <c r="V6" s="325"/>
      <c r="W6" s="325"/>
      <c r="X6" s="325"/>
      <c r="Y6" s="325"/>
      <c r="Z6" s="326"/>
    </row>
    <row r="7" spans="1:29" ht="36" customHeight="1" x14ac:dyDescent="0.4">
      <c r="A7" s="309"/>
      <c r="B7" s="331" t="s">
        <v>45</v>
      </c>
      <c r="C7" s="331"/>
      <c r="D7" s="210">
        <f>'Quadro Geral'!G7</f>
        <v>35126.080000000002</v>
      </c>
      <c r="E7" s="210">
        <f>'Quadro Geral'!H7</f>
        <v>35126.080000000002</v>
      </c>
      <c r="F7" s="14">
        <f t="shared" si="0"/>
        <v>100</v>
      </c>
      <c r="G7" s="136"/>
      <c r="H7" s="136"/>
      <c r="I7" s="136"/>
      <c r="J7" s="334"/>
      <c r="K7" s="334"/>
      <c r="L7" s="138"/>
      <c r="M7" s="141"/>
      <c r="N7" s="142"/>
      <c r="O7" s="142"/>
      <c r="P7" s="142"/>
      <c r="Q7" s="327"/>
      <c r="R7" s="328"/>
      <c r="S7" s="328"/>
      <c r="T7" s="328"/>
      <c r="U7" s="328"/>
      <c r="V7" s="328"/>
      <c r="W7" s="328"/>
      <c r="X7" s="328"/>
      <c r="Y7" s="328"/>
      <c r="Z7" s="329"/>
    </row>
    <row r="8" spans="1:29" ht="36" customHeight="1" x14ac:dyDescent="0.4">
      <c r="A8" s="309"/>
      <c r="B8" s="307" t="s">
        <v>51</v>
      </c>
      <c r="C8" s="307"/>
      <c r="D8" s="154">
        <f>D6-D7</f>
        <v>1632259.68</v>
      </c>
      <c r="E8" s="154">
        <f>E6-E7</f>
        <v>1772563.1400000001</v>
      </c>
      <c r="F8" s="155">
        <f t="shared" si="0"/>
        <v>108.59565801441595</v>
      </c>
      <c r="G8" s="136"/>
      <c r="H8" s="136"/>
      <c r="I8" s="136"/>
      <c r="J8" s="128"/>
      <c r="K8" s="128"/>
      <c r="L8" s="138"/>
      <c r="M8" s="143"/>
      <c r="N8" s="144"/>
      <c r="O8" s="143"/>
      <c r="P8" s="145"/>
      <c r="Q8" s="324" t="s">
        <v>372</v>
      </c>
      <c r="R8" s="325"/>
      <c r="S8" s="325"/>
      <c r="T8" s="325"/>
      <c r="U8" s="325"/>
      <c r="V8" s="325"/>
      <c r="W8" s="325"/>
      <c r="X8" s="325"/>
      <c r="Y8" s="325"/>
      <c r="Z8" s="326"/>
      <c r="AA8" s="145"/>
      <c r="AB8" s="145"/>
      <c r="AC8" s="145"/>
    </row>
    <row r="9" spans="1:29" s="150" customFormat="1" ht="36" customHeight="1" x14ac:dyDescent="0.4">
      <c r="A9" s="146"/>
      <c r="B9" s="147"/>
      <c r="C9" s="147"/>
      <c r="D9" s="148"/>
      <c r="E9" s="148"/>
      <c r="F9" s="143"/>
      <c r="G9" s="148"/>
      <c r="H9" s="148"/>
      <c r="I9" s="148"/>
      <c r="J9" s="128"/>
      <c r="K9" s="128"/>
      <c r="L9" s="138"/>
      <c r="M9" s="143"/>
      <c r="N9" s="144"/>
      <c r="O9" s="143"/>
      <c r="P9" s="149"/>
      <c r="Q9" s="327"/>
      <c r="R9" s="328"/>
      <c r="S9" s="328"/>
      <c r="T9" s="328"/>
      <c r="U9" s="328"/>
      <c r="V9" s="328"/>
      <c r="W9" s="328"/>
      <c r="X9" s="328"/>
      <c r="Y9" s="328"/>
      <c r="Z9" s="329"/>
      <c r="AA9" s="149"/>
      <c r="AB9" s="149"/>
    </row>
    <row r="10" spans="1:29" ht="58.5" customHeight="1" x14ac:dyDescent="0.4">
      <c r="A10" s="309" t="s">
        <v>50</v>
      </c>
      <c r="B10" s="313" t="s">
        <v>38</v>
      </c>
      <c r="C10" s="313"/>
      <c r="D10" s="197" t="s">
        <v>360</v>
      </c>
      <c r="E10" s="197" t="s">
        <v>359</v>
      </c>
      <c r="F10" s="209" t="s">
        <v>356</v>
      </c>
      <c r="G10" s="148"/>
      <c r="H10" s="148"/>
      <c r="I10" s="148"/>
      <c r="J10" s="313" t="s">
        <v>38</v>
      </c>
      <c r="K10" s="313"/>
      <c r="L10" s="313"/>
      <c r="M10" s="197" t="s">
        <v>185</v>
      </c>
      <c r="N10" s="197" t="s">
        <v>359</v>
      </c>
      <c r="O10" s="181" t="s">
        <v>356</v>
      </c>
      <c r="P10" s="145"/>
      <c r="Q10" s="149"/>
      <c r="R10" s="149"/>
      <c r="S10" s="149"/>
      <c r="T10" s="149"/>
      <c r="U10" s="149"/>
      <c r="V10" s="149"/>
      <c r="W10" s="149"/>
      <c r="X10" s="149"/>
      <c r="Y10" s="149"/>
      <c r="Z10" s="149"/>
      <c r="AA10" s="149"/>
      <c r="AB10" s="149"/>
    </row>
    <row r="11" spans="1:29" ht="36" customHeight="1" x14ac:dyDescent="0.4">
      <c r="A11" s="309"/>
      <c r="B11" s="311" t="s">
        <v>242</v>
      </c>
      <c r="C11" s="156" t="s">
        <v>36</v>
      </c>
      <c r="D11" s="139">
        <f>'[3]Anexo 2. Limites Estratégicos'!$E$12</f>
        <v>414331.03</v>
      </c>
      <c r="E11" s="140">
        <f>'Quadro Geral'!H9+'Quadro Geral'!H14</f>
        <v>367276.57</v>
      </c>
      <c r="F11" s="14">
        <f>IFERROR(E11/D11*100,)</f>
        <v>88.643269127103508</v>
      </c>
      <c r="G11" s="174" t="b">
        <f>E11='Matriz de Obj. Estrat.'!J5</f>
        <v>1</v>
      </c>
      <c r="H11" s="161"/>
      <c r="I11" s="161"/>
      <c r="J11" s="314" t="s">
        <v>243</v>
      </c>
      <c r="K11" s="314"/>
      <c r="L11" s="156" t="s">
        <v>36</v>
      </c>
      <c r="M11" s="163">
        <f>(M4-M5)</f>
        <v>931460.77482728835</v>
      </c>
      <c r="N11" s="164">
        <f>(N4-N5)</f>
        <v>880815.12</v>
      </c>
      <c r="O11" s="14">
        <f>IFERROR(N11/M11*100,0)</f>
        <v>94.562771058536626</v>
      </c>
      <c r="P11" s="160"/>
      <c r="Q11" s="149"/>
      <c r="R11" s="149"/>
      <c r="S11" s="149"/>
      <c r="T11" s="149"/>
      <c r="U11" s="149"/>
      <c r="V11" s="149"/>
      <c r="W11" s="149"/>
      <c r="X11" s="149"/>
      <c r="Y11" s="149"/>
      <c r="Z11" s="149"/>
      <c r="AA11" s="149"/>
      <c r="AB11" s="149"/>
    </row>
    <row r="12" spans="1:29" ht="36" customHeight="1" x14ac:dyDescent="0.4">
      <c r="A12" s="309"/>
      <c r="B12" s="312"/>
      <c r="C12" s="157" t="s">
        <v>37</v>
      </c>
      <c r="D12" s="159">
        <f>IFERROR(D11/$D$8,0)</f>
        <v>0.25383891734677905</v>
      </c>
      <c r="E12" s="159">
        <f>IFERROR(E11/$E$8,0)</f>
        <v>0.20720083911933312</v>
      </c>
      <c r="F12" s="158">
        <f>(E12-D12)*100</f>
        <v>-4.6638078227445927</v>
      </c>
      <c r="G12" s="162"/>
      <c r="H12" s="162"/>
      <c r="I12" s="161"/>
      <c r="J12" s="314"/>
      <c r="K12" s="314"/>
      <c r="L12" s="157" t="s">
        <v>37</v>
      </c>
      <c r="M12" s="165">
        <f>IFERROR(M11/M6,)</f>
        <v>0.55004506563275823</v>
      </c>
      <c r="N12" s="165">
        <f>IFERROR(N11/N6,)</f>
        <v>0.47150451580141189</v>
      </c>
      <c r="O12" s="158">
        <f>(N12-M12)*100</f>
        <v>-7.8540549831346338</v>
      </c>
      <c r="P12" s="166"/>
      <c r="Q12" s="149"/>
      <c r="R12" s="149"/>
      <c r="S12" s="149"/>
      <c r="T12" s="149"/>
      <c r="U12" s="149"/>
      <c r="V12" s="149"/>
      <c r="W12" s="149"/>
      <c r="X12" s="149"/>
      <c r="Y12" s="149"/>
      <c r="Z12" s="149"/>
      <c r="AA12" s="149"/>
      <c r="AB12" s="149"/>
    </row>
    <row r="13" spans="1:29" ht="36" customHeight="1" x14ac:dyDescent="0.4">
      <c r="A13" s="309"/>
      <c r="B13" s="311" t="s">
        <v>244</v>
      </c>
      <c r="C13" s="156" t="s">
        <v>36</v>
      </c>
      <c r="D13" s="139">
        <f>'[3]Anexo 2. Limites Estratégicos'!$E$14</f>
        <v>804110.32</v>
      </c>
      <c r="E13" s="140">
        <f>'Quadro Geral'!H10+'Quadro Geral'!H12+'Quadro Geral'!H19</f>
        <v>263489.61</v>
      </c>
      <c r="F13" s="14">
        <f>IFERROR(E13/D13*100,)</f>
        <v>32.767843347664041</v>
      </c>
      <c r="G13" s="174" t="b">
        <f>E13='Matriz de Obj. Estrat.'!J6</f>
        <v>1</v>
      </c>
      <c r="H13" s="161"/>
      <c r="I13" s="161"/>
      <c r="J13" s="310" t="s">
        <v>245</v>
      </c>
      <c r="K13" s="310"/>
      <c r="L13" s="156" t="s">
        <v>36</v>
      </c>
      <c r="M13" s="139">
        <f>'[3]Anexo 2. Limites Estratégicos'!$L$14</f>
        <v>22000</v>
      </c>
      <c r="N13" s="140">
        <f>'Quadro Geral'!H16</f>
        <v>13838.45</v>
      </c>
      <c r="O13" s="14">
        <f>IFERROR(N13/M13*100,0)</f>
        <v>62.902045454545465</v>
      </c>
      <c r="P13" s="174" t="b">
        <f>N13='Matriz de Obj. Estrat.'!J16</f>
        <v>1</v>
      </c>
      <c r="Q13" s="149"/>
      <c r="R13" s="149"/>
      <c r="S13" s="149"/>
      <c r="T13" s="149"/>
      <c r="U13" s="149"/>
      <c r="V13" s="149"/>
      <c r="W13" s="149"/>
      <c r="X13" s="149"/>
      <c r="Y13" s="149"/>
      <c r="Z13" s="149"/>
      <c r="AA13" s="149"/>
      <c r="AB13" s="149"/>
    </row>
    <row r="14" spans="1:29" ht="36" customHeight="1" x14ac:dyDescent="0.4">
      <c r="A14" s="309"/>
      <c r="B14" s="312"/>
      <c r="C14" s="157" t="s">
        <v>37</v>
      </c>
      <c r="D14" s="159">
        <f>IFERROR(D13/$D$8,0)</f>
        <v>0.49263626973864844</v>
      </c>
      <c r="E14" s="159">
        <f>IFERROR(E13/$E$8,0)</f>
        <v>0.14864892767656218</v>
      </c>
      <c r="F14" s="158">
        <f>(E14-D14)*100</f>
        <v>-34.398734206208623</v>
      </c>
      <c r="G14" s="162"/>
      <c r="H14" s="162"/>
      <c r="I14" s="161"/>
      <c r="J14" s="310"/>
      <c r="K14" s="310"/>
      <c r="L14" s="157" t="s">
        <v>37</v>
      </c>
      <c r="M14" s="165">
        <f>IFERROR(M13/M4,)</f>
        <v>2.3611210725282925E-2</v>
      </c>
      <c r="N14" s="165">
        <f>IFERROR(N13/N4,)</f>
        <v>1.5706686186301801E-2</v>
      </c>
      <c r="O14" s="158">
        <f>(N14-M14)*100</f>
        <v>-0.79045245389811236</v>
      </c>
      <c r="P14" s="166"/>
      <c r="Q14" s="149"/>
      <c r="R14" s="149"/>
      <c r="S14" s="149"/>
      <c r="T14" s="149"/>
      <c r="U14" s="149"/>
      <c r="V14" s="149"/>
      <c r="W14" s="149"/>
      <c r="X14" s="149"/>
      <c r="Y14" s="149"/>
      <c r="Z14" s="149"/>
      <c r="AA14" s="149"/>
      <c r="AB14" s="149"/>
    </row>
    <row r="15" spans="1:29" ht="36" customHeight="1" thickBot="1" x14ac:dyDescent="0.45">
      <c r="A15" s="309"/>
      <c r="B15" s="311" t="s">
        <v>246</v>
      </c>
      <c r="C15" s="156" t="s">
        <v>36</v>
      </c>
      <c r="D15" s="139">
        <f>'[3]Anexo 2. Limites Estratégicos'!$E$16</f>
        <v>99266.59</v>
      </c>
      <c r="E15" s="140">
        <f>'Quadro Geral'!H17</f>
        <v>81825.94</v>
      </c>
      <c r="F15" s="14">
        <f>IFERROR(E15/D15*100,)</f>
        <v>82.430493482248153</v>
      </c>
      <c r="G15" s="174" t="b">
        <f>E15='Matriz de Obj. Estrat.'!J11</f>
        <v>1</v>
      </c>
      <c r="H15" s="161"/>
      <c r="I15" s="161"/>
      <c r="P15" s="146"/>
      <c r="Q15" s="149"/>
      <c r="R15" s="149"/>
      <c r="S15" s="149"/>
      <c r="T15" s="149"/>
      <c r="U15" s="149"/>
      <c r="V15" s="149"/>
      <c r="W15" s="149"/>
      <c r="X15" s="149"/>
      <c r="Y15" s="149"/>
      <c r="Z15" s="149"/>
      <c r="AA15" s="149"/>
      <c r="AB15" s="149"/>
    </row>
    <row r="16" spans="1:29" ht="36" customHeight="1" x14ac:dyDescent="0.4">
      <c r="A16" s="309"/>
      <c r="B16" s="312"/>
      <c r="C16" s="157" t="s">
        <v>37</v>
      </c>
      <c r="D16" s="159">
        <f>IFERROR(D15/$D$8,0)</f>
        <v>6.0815439611912735E-2</v>
      </c>
      <c r="E16" s="159">
        <f>IFERROR(E15/$E$8,0)</f>
        <v>4.6162496643137908E-2</v>
      </c>
      <c r="F16" s="158">
        <f>(E16-D16)*100</f>
        <v>-1.4652942968774827</v>
      </c>
      <c r="G16" s="162"/>
      <c r="H16" s="162"/>
      <c r="I16" s="161"/>
      <c r="J16" s="315" t="s">
        <v>361</v>
      </c>
      <c r="K16" s="316"/>
      <c r="L16" s="316"/>
      <c r="M16" s="316"/>
      <c r="N16" s="316"/>
      <c r="O16" s="317"/>
    </row>
    <row r="17" spans="1:16" ht="36" customHeight="1" x14ac:dyDescent="0.4">
      <c r="A17" s="309"/>
      <c r="B17" s="311" t="s">
        <v>247</v>
      </c>
      <c r="C17" s="156" t="s">
        <v>36</v>
      </c>
      <c r="D17" s="139">
        <f>'[3]Anexo 2. Limites Estratégicos'!$E$18</f>
        <v>5000</v>
      </c>
      <c r="E17" s="140">
        <f>0</f>
        <v>0</v>
      </c>
      <c r="F17" s="14">
        <f>IFERROR(E17/D17*100,)</f>
        <v>0</v>
      </c>
      <c r="G17" s="160"/>
      <c r="H17" s="161"/>
      <c r="I17" s="161"/>
      <c r="J17" s="318"/>
      <c r="K17" s="319"/>
      <c r="L17" s="319"/>
      <c r="M17" s="319"/>
      <c r="N17" s="319"/>
      <c r="O17" s="320"/>
    </row>
    <row r="18" spans="1:16" ht="36" customHeight="1" x14ac:dyDescent="0.4">
      <c r="A18" s="309"/>
      <c r="B18" s="312"/>
      <c r="C18" s="157" t="s">
        <v>37</v>
      </c>
      <c r="D18" s="159">
        <f>IFERROR(D17/$D$8,0)</f>
        <v>3.0632380749612098E-3</v>
      </c>
      <c r="E18" s="159">
        <f>IFERROR(E17/$E$8,0)</f>
        <v>0</v>
      </c>
      <c r="F18" s="158">
        <f>(E18-D18)*100</f>
        <v>-0.30632380749612098</v>
      </c>
      <c r="G18" s="162"/>
      <c r="H18" s="162"/>
      <c r="I18" s="161"/>
      <c r="J18" s="318"/>
      <c r="K18" s="319"/>
      <c r="L18" s="319"/>
      <c r="M18" s="319"/>
      <c r="N18" s="319"/>
      <c r="O18" s="320"/>
    </row>
    <row r="19" spans="1:16" ht="36" customHeight="1" x14ac:dyDescent="0.4">
      <c r="A19" s="309"/>
      <c r="B19" s="311" t="s">
        <v>248</v>
      </c>
      <c r="C19" s="156" t="s">
        <v>36</v>
      </c>
      <c r="D19" s="139">
        <f>'[3]Anexo 2. Limites Estratégicos'!$E$20</f>
        <v>903376.90999999992</v>
      </c>
      <c r="E19" s="140">
        <f>'Quadro Geral'!H10+'Quadro Geral'!H12+'Quadro Geral'!H17+'Quadro Geral'!H19</f>
        <v>345315.55</v>
      </c>
      <c r="F19" s="14">
        <f>IFERROR(E19/D19*100,)</f>
        <v>38.224969686240932</v>
      </c>
      <c r="G19" s="160"/>
      <c r="H19" s="161"/>
      <c r="I19" s="161"/>
      <c r="J19" s="318"/>
      <c r="K19" s="319"/>
      <c r="L19" s="319"/>
      <c r="M19" s="319"/>
      <c r="N19" s="319"/>
      <c r="O19" s="320"/>
    </row>
    <row r="20" spans="1:16" ht="36" customHeight="1" x14ac:dyDescent="0.4">
      <c r="A20" s="309"/>
      <c r="B20" s="312"/>
      <c r="C20" s="157" t="s">
        <v>37</v>
      </c>
      <c r="D20" s="159">
        <f>IFERROR(D19/$D$8,0)</f>
        <v>0.55345170935056121</v>
      </c>
      <c r="E20" s="159">
        <f>IFERROR(E19/$E$8,0)</f>
        <v>0.19481142431970008</v>
      </c>
      <c r="F20" s="158">
        <f>(E20-D20)*100</f>
        <v>-35.864028503086111</v>
      </c>
      <c r="G20" s="162"/>
      <c r="H20" s="162"/>
      <c r="I20" s="161"/>
      <c r="J20" s="318"/>
      <c r="K20" s="319"/>
      <c r="L20" s="319"/>
      <c r="M20" s="319"/>
      <c r="N20" s="319"/>
      <c r="O20" s="320"/>
    </row>
    <row r="21" spans="1:16" ht="36" customHeight="1" thickBot="1" x14ac:dyDescent="0.45">
      <c r="A21" s="309"/>
      <c r="B21" s="311" t="s">
        <v>249</v>
      </c>
      <c r="C21" s="156" t="s">
        <v>36</v>
      </c>
      <c r="D21" s="139">
        <f>'[3]Anexo 2. Limites Estratégicos'!$E$22</f>
        <v>83786.55</v>
      </c>
      <c r="E21" s="140">
        <f>'Quadro Geral'!H20</f>
        <v>83786.55</v>
      </c>
      <c r="F21" s="14">
        <f>IFERROR(E21/D21*100,)</f>
        <v>100</v>
      </c>
      <c r="G21" s="160"/>
      <c r="H21" s="161"/>
      <c r="I21" s="161"/>
      <c r="J21" s="321"/>
      <c r="K21" s="322"/>
      <c r="L21" s="322"/>
      <c r="M21" s="322"/>
      <c r="N21" s="322"/>
      <c r="O21" s="323"/>
    </row>
    <row r="22" spans="1:16" ht="36" customHeight="1" x14ac:dyDescent="0.4">
      <c r="A22" s="309"/>
      <c r="B22" s="312"/>
      <c r="C22" s="157" t="s">
        <v>37</v>
      </c>
      <c r="D22" s="159">
        <f>IFERROR(D21/$D$8,0)</f>
        <v>5.1331630025928228E-2</v>
      </c>
      <c r="E22" s="159">
        <f>IFERROR(E21/$E$8,0)</f>
        <v>4.7268584181435702E-2</v>
      </c>
      <c r="F22" s="158">
        <f>(E22-D22)*100</f>
        <v>-0.40630458444925255</v>
      </c>
      <c r="G22" s="162"/>
      <c r="H22" s="162"/>
      <c r="I22" s="161"/>
      <c r="J22" s="152"/>
      <c r="K22" s="152"/>
      <c r="L22" s="152"/>
      <c r="M22" s="152"/>
      <c r="N22" s="152"/>
      <c r="O22" s="152"/>
      <c r="P22" s="152"/>
    </row>
    <row r="23" spans="1:16" ht="36" customHeight="1" x14ac:dyDescent="0.4">
      <c r="A23" s="309"/>
      <c r="B23" s="311" t="s">
        <v>250</v>
      </c>
      <c r="C23" s="156" t="s">
        <v>36</v>
      </c>
      <c r="D23" s="139">
        <f>'[3]Anexo 2. Limites Estratégicos'!$E$24</f>
        <v>21000</v>
      </c>
      <c r="E23" s="139">
        <f>0</f>
        <v>0</v>
      </c>
      <c r="F23" s="14">
        <f>IFERROR(E23/D23*100,)</f>
        <v>0</v>
      </c>
      <c r="G23" s="160"/>
      <c r="H23" s="161"/>
      <c r="I23" s="161"/>
      <c r="J23" s="152"/>
      <c r="K23" s="152"/>
      <c r="L23" s="152"/>
      <c r="M23" s="152"/>
      <c r="N23" s="152"/>
      <c r="O23" s="152"/>
      <c r="P23" s="152"/>
    </row>
    <row r="24" spans="1:16" ht="36" customHeight="1" x14ac:dyDescent="0.4">
      <c r="A24" s="309"/>
      <c r="B24" s="312"/>
      <c r="C24" s="157" t="s">
        <v>37</v>
      </c>
      <c r="D24" s="159">
        <f>IFERROR(D23/$D$8,0)</f>
        <v>1.2865599914837081E-2</v>
      </c>
      <c r="E24" s="159">
        <f>IFERROR(E23/$E$8,0)</f>
        <v>0</v>
      </c>
      <c r="F24" s="158">
        <f>(E24-D24)*100</f>
        <v>-1.286559991483708</v>
      </c>
      <c r="G24" s="162"/>
      <c r="H24" s="162"/>
      <c r="I24" s="161"/>
      <c r="J24" s="152"/>
      <c r="K24" s="152"/>
      <c r="L24" s="152"/>
      <c r="M24" s="152"/>
      <c r="N24" s="152"/>
      <c r="O24" s="152"/>
      <c r="P24" s="152"/>
    </row>
    <row r="25" spans="1:16" x14ac:dyDescent="0.4">
      <c r="B25" s="121"/>
      <c r="J25" s="152"/>
      <c r="K25" s="152"/>
      <c r="L25" s="152"/>
      <c r="M25" s="152"/>
      <c r="N25" s="152"/>
      <c r="O25" s="152"/>
      <c r="P25" s="152"/>
    </row>
    <row r="26" spans="1:16" x14ac:dyDescent="0.4">
      <c r="A26" s="273" t="s">
        <v>362</v>
      </c>
      <c r="B26" s="273"/>
      <c r="C26" s="273"/>
      <c r="D26" s="273"/>
      <c r="E26" s="273"/>
      <c r="F26" s="273"/>
      <c r="G26" s="273"/>
      <c r="H26" s="273"/>
      <c r="I26" s="273"/>
      <c r="J26" s="273"/>
      <c r="K26" s="273"/>
      <c r="L26" s="273"/>
      <c r="M26" s="273"/>
      <c r="N26" s="273"/>
      <c r="O26" s="273"/>
    </row>
    <row r="27" spans="1:16" ht="101.25" customHeight="1" x14ac:dyDescent="0.4">
      <c r="A27" s="308" t="s">
        <v>415</v>
      </c>
      <c r="B27" s="308"/>
      <c r="C27" s="308"/>
      <c r="D27" s="308"/>
      <c r="E27" s="308"/>
      <c r="F27" s="308"/>
      <c r="G27" s="308"/>
      <c r="H27" s="308"/>
      <c r="I27" s="308"/>
      <c r="J27" s="308"/>
      <c r="K27" s="308"/>
      <c r="L27" s="308"/>
      <c r="M27" s="308"/>
      <c r="N27" s="308"/>
      <c r="O27" s="308"/>
    </row>
    <row r="28" spans="1:16" x14ac:dyDescent="0.4"/>
  </sheetData>
  <sheetProtection selectLockedCells="1"/>
  <protectedRanges>
    <protectedRange algorithmName="SHA-512" hashValue="oBu0U8UHWW1M9CSBiI+2smTKBuiu7zBMJPASzxaVW3/YfTocFsZXqoNbgPAUiXKweXnE/VLNBYi0YQjO9aRFIA==" saltValue="Uwn4xh4BFhDBBJp6oLNp+A==" spinCount="100000" sqref="Q3:Q6 Q8" name="Indicadores"/>
  </protectedRanges>
  <mergeCells count="32">
    <mergeCell ref="J16:O21"/>
    <mergeCell ref="Q4:Z5"/>
    <mergeCell ref="Q6:Z7"/>
    <mergeCell ref="Q8:Z9"/>
    <mergeCell ref="A3:A8"/>
    <mergeCell ref="B3:C3"/>
    <mergeCell ref="J3:J6"/>
    <mergeCell ref="K3:L3"/>
    <mergeCell ref="B4:C4"/>
    <mergeCell ref="K4:L4"/>
    <mergeCell ref="B5:C5"/>
    <mergeCell ref="K5:L5"/>
    <mergeCell ref="B6:C6"/>
    <mergeCell ref="K6:L6"/>
    <mergeCell ref="B7:C7"/>
    <mergeCell ref="J7:K7"/>
    <mergeCell ref="A1:O1"/>
    <mergeCell ref="B8:C8"/>
    <mergeCell ref="A26:O26"/>
    <mergeCell ref="A27:O27"/>
    <mergeCell ref="A10:A24"/>
    <mergeCell ref="J13:K14"/>
    <mergeCell ref="B15:B16"/>
    <mergeCell ref="B10:C10"/>
    <mergeCell ref="J10:L10"/>
    <mergeCell ref="B11:B12"/>
    <mergeCell ref="J11:K12"/>
    <mergeCell ref="B13:B14"/>
    <mergeCell ref="B21:B22"/>
    <mergeCell ref="B19:B20"/>
    <mergeCell ref="B23:B24"/>
    <mergeCell ref="B17:B18"/>
  </mergeCells>
  <phoneticPr fontId="19" type="noConversion"/>
  <conditionalFormatting sqref="G4">
    <cfRule type="cellIs" dxfId="20" priority="11" operator="equal">
      <formula>FALSE</formula>
    </cfRule>
    <cfRule type="cellIs" dxfId="19" priority="17" operator="equal">
      <formula>TRUE</formula>
    </cfRule>
  </conditionalFormatting>
  <conditionalFormatting sqref="G5">
    <cfRule type="cellIs" dxfId="18" priority="9" operator="equal">
      <formula>FALSE</formula>
    </cfRule>
    <cfRule type="cellIs" dxfId="17" priority="10" operator="equal">
      <formula>TRUE</formula>
    </cfRule>
  </conditionalFormatting>
  <conditionalFormatting sqref="G11">
    <cfRule type="cellIs" dxfId="16" priority="7" operator="equal">
      <formula>FALSE</formula>
    </cfRule>
    <cfRule type="cellIs" dxfId="15" priority="8" operator="equal">
      <formula>TRUE</formula>
    </cfRule>
  </conditionalFormatting>
  <conditionalFormatting sqref="G13">
    <cfRule type="cellIs" dxfId="14" priority="5" operator="equal">
      <formula>FALSE</formula>
    </cfRule>
    <cfRule type="cellIs" dxfId="13" priority="6" operator="equal">
      <formula>TRUE</formula>
    </cfRule>
  </conditionalFormatting>
  <conditionalFormatting sqref="G15">
    <cfRule type="cellIs" dxfId="12" priority="3" operator="equal">
      <formula>FALSE</formula>
    </cfRule>
    <cfRule type="cellIs" dxfId="11" priority="4" operator="equal">
      <formula>TRUE</formula>
    </cfRule>
  </conditionalFormatting>
  <conditionalFormatting sqref="P13">
    <cfRule type="cellIs" dxfId="10" priority="1" operator="equal">
      <formula>FALSE</formula>
    </cfRule>
    <cfRule type="cellIs" dxfId="9" priority="2" operator="equal">
      <formula>TRUE</formula>
    </cfRule>
  </conditionalFormatting>
  <pageMargins left="0.51181102362204722" right="0.51181102362204722" top="0.35433070866141736" bottom="0.78740157480314965" header="0.31496062992125984" footer="0.31496062992125984"/>
  <pageSetup paperSize="9" scale="50" fitToHeight="0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Plan7">
    <tabColor rgb="FF00B050"/>
    <pageSetUpPr fitToPage="1"/>
  </sheetPr>
  <dimension ref="A1:Q28"/>
  <sheetViews>
    <sheetView showGridLines="0" topLeftCell="B22" zoomScale="80" zoomScaleNormal="80" zoomScaleSheetLayoutView="80" workbookViewId="0">
      <selection activeCell="I19" sqref="I19"/>
    </sheetView>
  </sheetViews>
  <sheetFormatPr defaultColWidth="9.140625" defaultRowHeight="15.75" x14ac:dyDescent="0.25"/>
  <cols>
    <col min="1" max="1" width="47" style="127" customWidth="1"/>
    <col min="2" max="5" width="21.42578125" style="127" customWidth="1"/>
    <col min="6" max="6" width="22.140625" style="127" customWidth="1"/>
    <col min="7" max="7" width="18.85546875" style="134" customWidth="1"/>
    <col min="8" max="22" width="9.140625" style="134" customWidth="1"/>
    <col min="23" max="16384" width="9.140625" style="134"/>
  </cols>
  <sheetData>
    <row r="1" spans="1:17" x14ac:dyDescent="0.25">
      <c r="A1" s="348" t="str">
        <f>'Indicadores e Metas'!A1:G1</f>
        <v xml:space="preserve">CAU/UF:  </v>
      </c>
      <c r="B1" s="349"/>
      <c r="C1" s="349"/>
      <c r="D1" s="349"/>
      <c r="E1" s="349"/>
      <c r="F1" s="350"/>
    </row>
    <row r="2" spans="1:17" s="135" customFormat="1" x14ac:dyDescent="0.25">
      <c r="A2" s="348" t="s">
        <v>353</v>
      </c>
      <c r="B2" s="349"/>
      <c r="C2" s="349"/>
      <c r="D2" s="349"/>
      <c r="E2" s="349"/>
      <c r="F2" s="350"/>
    </row>
    <row r="3" spans="1:17" s="135" customFormat="1" x14ac:dyDescent="0.25">
      <c r="A3" s="341"/>
      <c r="B3" s="341"/>
      <c r="C3" s="341"/>
      <c r="D3" s="341"/>
      <c r="E3" s="130" t="s">
        <v>13</v>
      </c>
      <c r="F3" s="128"/>
    </row>
    <row r="4" spans="1:17" x14ac:dyDescent="0.25">
      <c r="A4" s="351" t="s">
        <v>4</v>
      </c>
      <c r="B4" s="352"/>
      <c r="C4" s="346" t="s">
        <v>350</v>
      </c>
      <c r="D4" s="346" t="s">
        <v>355</v>
      </c>
      <c r="E4" s="196" t="s">
        <v>356</v>
      </c>
      <c r="F4" s="355" t="s">
        <v>337</v>
      </c>
    </row>
    <row r="5" spans="1:17" ht="32.25" thickBot="1" x14ac:dyDescent="0.3">
      <c r="A5" s="353"/>
      <c r="B5" s="354"/>
      <c r="C5" s="347"/>
      <c r="D5" s="347"/>
      <c r="E5" s="11" t="s">
        <v>357</v>
      </c>
      <c r="F5" s="355"/>
    </row>
    <row r="6" spans="1:17" ht="23.25" x14ac:dyDescent="0.35">
      <c r="A6" s="307" t="s">
        <v>338</v>
      </c>
      <c r="B6" s="307"/>
      <c r="C6" s="167"/>
      <c r="D6" s="167"/>
      <c r="E6" s="168"/>
      <c r="F6" s="168"/>
      <c r="H6" s="208" t="s">
        <v>368</v>
      </c>
      <c r="I6" s="187"/>
      <c r="J6" s="187"/>
      <c r="K6" s="187"/>
      <c r="L6" s="187"/>
      <c r="M6" s="187"/>
      <c r="N6" s="187"/>
      <c r="O6" s="187"/>
      <c r="P6" s="187"/>
      <c r="Q6" s="188"/>
    </row>
    <row r="7" spans="1:17" ht="19.5" customHeight="1" x14ac:dyDescent="0.25">
      <c r="A7" s="345" t="s">
        <v>5</v>
      </c>
      <c r="B7" s="345"/>
      <c r="C7" s="225">
        <v>1693426.29</v>
      </c>
      <c r="D7" s="125">
        <f>D8+D18+D19+D20</f>
        <v>1868094.7700000003</v>
      </c>
      <c r="E7" s="125">
        <f>IFERROR(D7/C7*100,)</f>
        <v>110.31450149507248</v>
      </c>
      <c r="F7" s="126">
        <f>IFERROR(D7/$D$24*100,0)</f>
        <v>100</v>
      </c>
      <c r="G7" s="169"/>
      <c r="H7" s="356" t="s">
        <v>373</v>
      </c>
      <c r="I7" s="357"/>
      <c r="J7" s="357"/>
      <c r="K7" s="357"/>
      <c r="L7" s="357"/>
      <c r="M7" s="357"/>
      <c r="N7" s="357"/>
      <c r="O7" s="357"/>
      <c r="P7" s="357"/>
      <c r="Q7" s="358"/>
    </row>
    <row r="8" spans="1:17" ht="19.5" customHeight="1" x14ac:dyDescent="0.25">
      <c r="A8" s="344" t="s">
        <v>54</v>
      </c>
      <c r="B8" s="344"/>
      <c r="C8" s="222">
        <v>1667385.76</v>
      </c>
      <c r="D8" s="125">
        <f>D9+D16+D17</f>
        <v>1807689.2200000002</v>
      </c>
      <c r="E8" s="125">
        <f t="shared" ref="E8:E10" si="0">IFERROR(D8/C8*100,)</f>
        <v>108.41457708023128</v>
      </c>
      <c r="F8" s="126">
        <f t="shared" ref="F8:F24" si="1">IFERROR(D8/$D$24*100,0)</f>
        <v>96.766462228251939</v>
      </c>
      <c r="G8" s="169"/>
      <c r="H8" s="301"/>
      <c r="I8" s="275"/>
      <c r="J8" s="275"/>
      <c r="K8" s="275"/>
      <c r="L8" s="275"/>
      <c r="M8" s="275"/>
      <c r="N8" s="275"/>
      <c r="O8" s="275"/>
      <c r="P8" s="275"/>
      <c r="Q8" s="302"/>
    </row>
    <row r="9" spans="1:17" ht="19.5" customHeight="1" x14ac:dyDescent="0.25">
      <c r="A9" s="344" t="s">
        <v>6</v>
      </c>
      <c r="B9" s="344"/>
      <c r="C9" s="223">
        <v>828648.83</v>
      </c>
      <c r="D9" s="125">
        <f>D10+D13</f>
        <v>854034.3600000001</v>
      </c>
      <c r="E9" s="125">
        <f t="shared" si="0"/>
        <v>103.06348468506256</v>
      </c>
      <c r="F9" s="126">
        <f t="shared" si="1"/>
        <v>45.71686478197249</v>
      </c>
      <c r="G9" s="169"/>
      <c r="H9" s="301"/>
      <c r="I9" s="275"/>
      <c r="J9" s="275"/>
      <c r="K9" s="275"/>
      <c r="L9" s="275"/>
      <c r="M9" s="275"/>
      <c r="N9" s="275"/>
      <c r="O9" s="275"/>
      <c r="P9" s="275"/>
      <c r="Q9" s="302"/>
    </row>
    <row r="10" spans="1:17" ht="19.5" customHeight="1" x14ac:dyDescent="0.25">
      <c r="A10" s="344" t="s">
        <v>7</v>
      </c>
      <c r="B10" s="344"/>
      <c r="C10" s="227">
        <v>742176.48</v>
      </c>
      <c r="D10" s="122">
        <f>SUM(D11:D12)</f>
        <v>805299.58000000007</v>
      </c>
      <c r="E10" s="125">
        <f t="shared" si="0"/>
        <v>108.50513344211609</v>
      </c>
      <c r="F10" s="126">
        <f t="shared" si="1"/>
        <v>43.108068869546692</v>
      </c>
      <c r="G10" s="169"/>
      <c r="H10" s="301"/>
      <c r="I10" s="275"/>
      <c r="J10" s="275"/>
      <c r="K10" s="275"/>
      <c r="L10" s="275"/>
      <c r="M10" s="275"/>
      <c r="N10" s="275"/>
      <c r="O10" s="275"/>
      <c r="P10" s="275"/>
      <c r="Q10" s="302"/>
    </row>
    <row r="11" spans="1:17" ht="19.5" customHeight="1" x14ac:dyDescent="0.25">
      <c r="A11" s="343" t="s">
        <v>374</v>
      </c>
      <c r="B11" s="343"/>
      <c r="C11" s="224">
        <v>585039</v>
      </c>
      <c r="D11" s="8">
        <v>550658.67000000004</v>
      </c>
      <c r="E11" s="125">
        <f>IFERROR(D11/C11*100,)</f>
        <v>94.123412285334823</v>
      </c>
      <c r="F11" s="126">
        <f t="shared" si="1"/>
        <v>29.477020055037141</v>
      </c>
      <c r="G11" s="169"/>
      <c r="H11" s="301"/>
      <c r="I11" s="275"/>
      <c r="J11" s="275"/>
      <c r="K11" s="275"/>
      <c r="L11" s="275"/>
      <c r="M11" s="275"/>
      <c r="N11" s="275"/>
      <c r="O11" s="275"/>
      <c r="P11" s="275"/>
      <c r="Q11" s="302"/>
    </row>
    <row r="12" spans="1:17" ht="19.5" customHeight="1" x14ac:dyDescent="0.25">
      <c r="A12" s="343" t="s">
        <v>52</v>
      </c>
      <c r="B12" s="343"/>
      <c r="C12" s="224">
        <v>157137.48000000001</v>
      </c>
      <c r="D12" s="8">
        <f>237482.53+14419.24+2739.14</f>
        <v>254640.91</v>
      </c>
      <c r="E12" s="125">
        <f t="shared" ref="E12:E24" si="2">IFERROR(D12/C12*100,)</f>
        <v>162.04976050271392</v>
      </c>
      <c r="F12" s="126">
        <f t="shared" si="1"/>
        <v>13.631048814509553</v>
      </c>
      <c r="G12" s="169"/>
      <c r="H12" s="301"/>
      <c r="I12" s="275"/>
      <c r="J12" s="275"/>
      <c r="K12" s="275"/>
      <c r="L12" s="275"/>
      <c r="M12" s="275"/>
      <c r="N12" s="275"/>
      <c r="O12" s="275"/>
      <c r="P12" s="275"/>
      <c r="Q12" s="302"/>
    </row>
    <row r="13" spans="1:17" ht="19.5" customHeight="1" x14ac:dyDescent="0.25">
      <c r="A13" s="344" t="s">
        <v>8</v>
      </c>
      <c r="B13" s="344"/>
      <c r="C13" s="226">
        <v>86472.35</v>
      </c>
      <c r="D13" s="125">
        <f>SUM(D14:D15)</f>
        <v>48734.78</v>
      </c>
      <c r="E13" s="125">
        <f t="shared" si="2"/>
        <v>56.358801397209625</v>
      </c>
      <c r="F13" s="126">
        <f t="shared" si="1"/>
        <v>2.6087959124257916</v>
      </c>
      <c r="G13" s="169"/>
      <c r="H13" s="303"/>
      <c r="I13" s="304"/>
      <c r="J13" s="304"/>
      <c r="K13" s="304"/>
      <c r="L13" s="304"/>
      <c r="M13" s="304"/>
      <c r="N13" s="304"/>
      <c r="O13" s="304"/>
      <c r="P13" s="304"/>
      <c r="Q13" s="305"/>
    </row>
    <row r="14" spans="1:17" ht="19.5" customHeight="1" x14ac:dyDescent="0.25">
      <c r="A14" s="343" t="s">
        <v>375</v>
      </c>
      <c r="B14" s="343"/>
      <c r="C14" s="224">
        <v>46798.61</v>
      </c>
      <c r="D14" s="8">
        <v>23129.37</v>
      </c>
      <c r="E14" s="125">
        <f t="shared" si="2"/>
        <v>49.423198680473632</v>
      </c>
      <c r="F14" s="126">
        <f t="shared" si="1"/>
        <v>1.2381261578072935</v>
      </c>
      <c r="G14" s="169"/>
    </row>
    <row r="15" spans="1:17" ht="19.5" customHeight="1" x14ac:dyDescent="0.25">
      <c r="A15" s="343" t="s">
        <v>53</v>
      </c>
      <c r="B15" s="343"/>
      <c r="C15" s="224">
        <v>39673.74</v>
      </c>
      <c r="D15" s="8">
        <v>25605.41</v>
      </c>
      <c r="E15" s="125">
        <f t="shared" si="2"/>
        <v>64.53994506189737</v>
      </c>
      <c r="F15" s="126">
        <f t="shared" si="1"/>
        <v>1.370669754618498</v>
      </c>
      <c r="G15" s="169"/>
    </row>
    <row r="16" spans="1:17" ht="19.5" customHeight="1" x14ac:dyDescent="0.25">
      <c r="A16" s="342" t="s">
        <v>49</v>
      </c>
      <c r="B16" s="342"/>
      <c r="C16" s="224">
        <v>766204.08</v>
      </c>
      <c r="D16" s="8">
        <v>846946.98</v>
      </c>
      <c r="E16" s="125">
        <f t="shared" si="2"/>
        <v>110.53804098772224</v>
      </c>
      <c r="F16" s="126">
        <f t="shared" si="1"/>
        <v>45.337473965520495</v>
      </c>
      <c r="G16" s="169"/>
    </row>
    <row r="17" spans="1:7" ht="19.5" customHeight="1" x14ac:dyDescent="0.25">
      <c r="A17" s="342" t="s">
        <v>123</v>
      </c>
      <c r="B17" s="342"/>
      <c r="C17" s="224">
        <v>72532.850000000006</v>
      </c>
      <c r="D17" s="8">
        <v>106707.88</v>
      </c>
      <c r="E17" s="125">
        <f t="shared" si="2"/>
        <v>147.11662370911938</v>
      </c>
      <c r="F17" s="126">
        <f t="shared" si="1"/>
        <v>5.7121234807589554</v>
      </c>
      <c r="G17" s="169"/>
    </row>
    <row r="18" spans="1:7" ht="19.5" customHeight="1" x14ac:dyDescent="0.25">
      <c r="A18" s="342" t="s">
        <v>9</v>
      </c>
      <c r="B18" s="342"/>
      <c r="C18" s="224">
        <v>8345.41</v>
      </c>
      <c r="D18" s="8">
        <v>44353.11</v>
      </c>
      <c r="E18" s="125">
        <f t="shared" si="2"/>
        <v>531.46711785280775</v>
      </c>
      <c r="F18" s="126">
        <f t="shared" si="1"/>
        <v>2.3742430369311505</v>
      </c>
      <c r="G18" s="169"/>
    </row>
    <row r="19" spans="1:7" ht="19.5" customHeight="1" x14ac:dyDescent="0.25">
      <c r="A19" s="342" t="s">
        <v>111</v>
      </c>
      <c r="B19" s="342"/>
      <c r="C19" s="224">
        <v>17695.12</v>
      </c>
      <c r="D19" s="8">
        <v>16052.44</v>
      </c>
      <c r="E19" s="125">
        <f t="shared" si="2"/>
        <v>90.716762587651289</v>
      </c>
      <c r="F19" s="126">
        <f t="shared" si="1"/>
        <v>0.85929473481690644</v>
      </c>
      <c r="G19" s="169"/>
    </row>
    <row r="20" spans="1:7" ht="19.5" customHeight="1" x14ac:dyDescent="0.25">
      <c r="A20" s="342" t="s">
        <v>10</v>
      </c>
      <c r="B20" s="342"/>
      <c r="C20" s="224">
        <v>0</v>
      </c>
      <c r="D20" s="8">
        <f>0</f>
        <v>0</v>
      </c>
      <c r="E20" s="125">
        <f t="shared" si="2"/>
        <v>0</v>
      </c>
      <c r="F20" s="126">
        <f t="shared" si="1"/>
        <v>0</v>
      </c>
      <c r="G20" s="169"/>
    </row>
    <row r="21" spans="1:7" ht="19.5" customHeight="1" x14ac:dyDescent="0.25">
      <c r="A21" s="345" t="s">
        <v>241</v>
      </c>
      <c r="B21" s="345"/>
      <c r="C21" s="223">
        <v>622639.83000000007</v>
      </c>
      <c r="D21" s="125">
        <f>SUM(D22:D23)</f>
        <v>0</v>
      </c>
      <c r="E21" s="125">
        <f t="shared" si="2"/>
        <v>0</v>
      </c>
      <c r="F21" s="126">
        <f t="shared" si="1"/>
        <v>0</v>
      </c>
      <c r="G21" s="169"/>
    </row>
    <row r="22" spans="1:7" ht="19.5" customHeight="1" x14ac:dyDescent="0.25">
      <c r="A22" s="342" t="s">
        <v>11</v>
      </c>
      <c r="B22" s="342"/>
      <c r="C22" s="228">
        <v>622639.83000000007</v>
      </c>
      <c r="D22" s="12">
        <f>0</f>
        <v>0</v>
      </c>
      <c r="E22" s="125">
        <f t="shared" si="2"/>
        <v>0</v>
      </c>
      <c r="F22" s="126">
        <f t="shared" si="1"/>
        <v>0</v>
      </c>
      <c r="G22" s="169"/>
    </row>
    <row r="23" spans="1:7" ht="19.5" customHeight="1" x14ac:dyDescent="0.25">
      <c r="A23" s="342" t="s">
        <v>110</v>
      </c>
      <c r="B23" s="342"/>
      <c r="C23" s="224">
        <v>0</v>
      </c>
      <c r="D23" s="12">
        <f>0</f>
        <v>0</v>
      </c>
      <c r="E23" s="125">
        <f t="shared" si="2"/>
        <v>0</v>
      </c>
      <c r="F23" s="126">
        <f t="shared" si="1"/>
        <v>0</v>
      </c>
      <c r="G23" s="169"/>
    </row>
    <row r="24" spans="1:7" ht="19.5" customHeight="1" x14ac:dyDescent="0.25">
      <c r="A24" s="345" t="s">
        <v>12</v>
      </c>
      <c r="B24" s="345"/>
      <c r="C24" s="125">
        <f>SUM(C21+C19+C18+C17+C16+C13+C10)</f>
        <v>2316066.12</v>
      </c>
      <c r="D24" s="125">
        <f>SUM(D7,D21)</f>
        <v>1868094.7700000003</v>
      </c>
      <c r="E24" s="125">
        <f t="shared" si="2"/>
        <v>80.658093215404421</v>
      </c>
      <c r="F24" s="126">
        <f t="shared" si="1"/>
        <v>100</v>
      </c>
      <c r="G24" s="169"/>
    </row>
    <row r="25" spans="1:7" ht="50.25" customHeight="1" x14ac:dyDescent="0.25">
      <c r="A25" s="131"/>
      <c r="B25" s="131"/>
      <c r="C25" s="132"/>
      <c r="D25" s="132"/>
      <c r="E25" s="132"/>
      <c r="F25" s="133"/>
    </row>
    <row r="27" spans="1:7" x14ac:dyDescent="0.25">
      <c r="A27" s="335" t="s">
        <v>182</v>
      </c>
      <c r="B27" s="336"/>
      <c r="C27" s="336"/>
      <c r="D27" s="336"/>
      <c r="E27" s="336"/>
      <c r="F27" s="337"/>
    </row>
    <row r="28" spans="1:7" ht="72" customHeight="1" x14ac:dyDescent="0.25">
      <c r="A28" s="338"/>
      <c r="B28" s="339"/>
      <c r="C28" s="339"/>
      <c r="D28" s="339"/>
      <c r="E28" s="339"/>
      <c r="F28" s="340"/>
    </row>
  </sheetData>
  <protectedRanges>
    <protectedRange algorithmName="SHA-512" hashValue="oBu0U8UHWW1M9CSBiI+2smTKBuiu7zBMJPASzxaVW3/YfTocFsZXqoNbgPAUiXKweXnE/VLNBYi0YQjO9aRFIA==" saltValue="Uwn4xh4BFhDBBJp6oLNp+A==" spinCount="100000" sqref="H6:H9" name="Indicadores"/>
  </protectedRanges>
  <mergeCells count="29">
    <mergeCell ref="A17:B17"/>
    <mergeCell ref="A18:B18"/>
    <mergeCell ref="A14:B14"/>
    <mergeCell ref="A15:B15"/>
    <mergeCell ref="H7:Q13"/>
    <mergeCell ref="A7:B7"/>
    <mergeCell ref="A8:B8"/>
    <mergeCell ref="A1:F1"/>
    <mergeCell ref="A2:F2"/>
    <mergeCell ref="D4:D5"/>
    <mergeCell ref="A4:B5"/>
    <mergeCell ref="A6:B6"/>
    <mergeCell ref="F4:F5"/>
    <mergeCell ref="A27:F27"/>
    <mergeCell ref="A28:F28"/>
    <mergeCell ref="A3:D3"/>
    <mergeCell ref="A22:B22"/>
    <mergeCell ref="A11:B11"/>
    <mergeCell ref="A12:B12"/>
    <mergeCell ref="A13:B13"/>
    <mergeCell ref="A23:B23"/>
    <mergeCell ref="A24:B24"/>
    <mergeCell ref="C4:C5"/>
    <mergeCell ref="A16:B16"/>
    <mergeCell ref="A9:B9"/>
    <mergeCell ref="A10:B10"/>
    <mergeCell ref="A19:B19"/>
    <mergeCell ref="A20:B20"/>
    <mergeCell ref="A21:B21"/>
  </mergeCells>
  <phoneticPr fontId="19" type="noConversion"/>
  <conditionalFormatting sqref="C25:E25">
    <cfRule type="cellIs" dxfId="8" priority="6" operator="equal">
      <formula>TRUE</formula>
    </cfRule>
  </conditionalFormatting>
  <pageMargins left="0.23622047244094491" right="0.23622047244094491" top="0.74803149606299213" bottom="0.74803149606299213" header="0.31496062992125984" footer="0.31496062992125984"/>
  <pageSetup paperSize="9" scale="81" orientation="portrait" horizontalDpi="300" verticalDpi="30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7030A0"/>
  </sheetPr>
  <dimension ref="A1:AW34"/>
  <sheetViews>
    <sheetView topLeftCell="E1" zoomScale="150" zoomScaleNormal="150" workbookViewId="0">
      <selection activeCell="J9" sqref="J9"/>
    </sheetView>
  </sheetViews>
  <sheetFormatPr defaultRowHeight="15.75" x14ac:dyDescent="0.25"/>
  <cols>
    <col min="1" max="1" width="48.7109375" style="5" bestFit="1" customWidth="1"/>
    <col min="2" max="2" width="42.5703125" style="5" bestFit="1" customWidth="1"/>
    <col min="3" max="3" width="46.28515625" style="5" bestFit="1" customWidth="1"/>
    <col min="4" max="4" width="127.85546875" style="5" customWidth="1"/>
    <col min="5" max="8" width="9.140625" style="5"/>
    <col min="9" max="9" width="13.5703125" style="5" bestFit="1" customWidth="1"/>
    <col min="10" max="49" width="9.140625" style="5"/>
  </cols>
  <sheetData>
    <row r="1" spans="1:7" x14ac:dyDescent="0.25">
      <c r="A1" s="5" t="s">
        <v>67</v>
      </c>
      <c r="B1" s="6" t="s">
        <v>46</v>
      </c>
      <c r="C1" s="6" t="s">
        <v>112</v>
      </c>
      <c r="D1" s="5" t="s">
        <v>24</v>
      </c>
      <c r="E1" s="5" t="s">
        <v>235</v>
      </c>
      <c r="G1" s="5" t="s">
        <v>288</v>
      </c>
    </row>
    <row r="2" spans="1:7" x14ac:dyDescent="0.25">
      <c r="A2" s="5" t="s">
        <v>75</v>
      </c>
      <c r="B2" s="6" t="s">
        <v>31</v>
      </c>
      <c r="C2" s="6" t="s">
        <v>113</v>
      </c>
      <c r="D2" s="5" t="s">
        <v>83</v>
      </c>
      <c r="E2" s="5" t="s">
        <v>236</v>
      </c>
      <c r="G2" s="5" t="s">
        <v>286</v>
      </c>
    </row>
    <row r="3" spans="1:7" x14ac:dyDescent="0.25">
      <c r="A3" s="5" t="s">
        <v>76</v>
      </c>
      <c r="B3" s="4" t="s">
        <v>29</v>
      </c>
      <c r="C3" s="6" t="s">
        <v>84</v>
      </c>
      <c r="D3" s="5" t="s">
        <v>20</v>
      </c>
      <c r="E3" s="5" t="s">
        <v>237</v>
      </c>
      <c r="G3" s="5" t="s">
        <v>284</v>
      </c>
    </row>
    <row r="4" spans="1:7" x14ac:dyDescent="0.25">
      <c r="A4" s="5" t="s">
        <v>77</v>
      </c>
      <c r="B4" s="7" t="s">
        <v>105</v>
      </c>
      <c r="C4" s="6" t="s">
        <v>85</v>
      </c>
      <c r="D4" s="5" t="s">
        <v>23</v>
      </c>
      <c r="E4" s="5" t="s">
        <v>238</v>
      </c>
      <c r="G4" s="5" t="s">
        <v>282</v>
      </c>
    </row>
    <row r="5" spans="1:7" x14ac:dyDescent="0.25">
      <c r="A5" s="5" t="s">
        <v>68</v>
      </c>
      <c r="B5" s="7" t="s">
        <v>106</v>
      </c>
      <c r="C5" s="6" t="s">
        <v>86</v>
      </c>
      <c r="D5" s="5" t="s">
        <v>26</v>
      </c>
      <c r="E5" s="5" t="s">
        <v>239</v>
      </c>
      <c r="G5" s="5" t="s">
        <v>280</v>
      </c>
    </row>
    <row r="6" spans="1:7" x14ac:dyDescent="0.25">
      <c r="A6" s="5" t="s">
        <v>78</v>
      </c>
      <c r="B6" s="7" t="s">
        <v>107</v>
      </c>
      <c r="C6" s="6" t="s">
        <v>87</v>
      </c>
      <c r="D6" s="5" t="s">
        <v>25</v>
      </c>
      <c r="E6" s="5" t="s">
        <v>240</v>
      </c>
      <c r="G6" s="5" t="s">
        <v>278</v>
      </c>
    </row>
    <row r="7" spans="1:7" x14ac:dyDescent="0.25">
      <c r="A7" s="5" t="s">
        <v>186</v>
      </c>
      <c r="B7" s="7" t="s">
        <v>108</v>
      </c>
      <c r="C7" s="6" t="s">
        <v>88</v>
      </c>
      <c r="D7" s="5" t="s">
        <v>89</v>
      </c>
      <c r="G7" s="5" t="s">
        <v>276</v>
      </c>
    </row>
    <row r="8" spans="1:7" x14ac:dyDescent="0.25">
      <c r="A8" s="5" t="s">
        <v>69</v>
      </c>
      <c r="B8" s="7" t="s">
        <v>109</v>
      </c>
      <c r="C8" s="6" t="s">
        <v>90</v>
      </c>
      <c r="D8" s="5" t="s">
        <v>17</v>
      </c>
      <c r="G8" s="5" t="s">
        <v>275</v>
      </c>
    </row>
    <row r="9" spans="1:7" x14ac:dyDescent="0.25">
      <c r="A9" s="5" t="s">
        <v>79</v>
      </c>
      <c r="B9" s="7" t="s">
        <v>116</v>
      </c>
      <c r="C9" s="6" t="s">
        <v>91</v>
      </c>
      <c r="D9" s="5" t="s">
        <v>22</v>
      </c>
      <c r="G9" s="5" t="s">
        <v>273</v>
      </c>
    </row>
    <row r="10" spans="1:7" x14ac:dyDescent="0.25">
      <c r="A10" s="5" t="s">
        <v>70</v>
      </c>
      <c r="B10" s="6" t="s">
        <v>30</v>
      </c>
      <c r="C10" s="6" t="s">
        <v>92</v>
      </c>
      <c r="D10" s="5" t="s">
        <v>115</v>
      </c>
      <c r="G10" s="5" t="s">
        <v>272</v>
      </c>
    </row>
    <row r="11" spans="1:7" x14ac:dyDescent="0.25">
      <c r="A11" s="5" t="s">
        <v>71</v>
      </c>
      <c r="B11" s="6" t="s">
        <v>0</v>
      </c>
      <c r="C11" s="6" t="s">
        <v>93</v>
      </c>
      <c r="D11" s="5" t="s">
        <v>14</v>
      </c>
      <c r="G11" s="5" t="s">
        <v>269</v>
      </c>
    </row>
    <row r="12" spans="1:7" x14ac:dyDescent="0.25">
      <c r="A12" s="5" t="s">
        <v>80</v>
      </c>
      <c r="C12" s="6" t="s">
        <v>94</v>
      </c>
      <c r="D12" s="5" t="s">
        <v>95</v>
      </c>
      <c r="G12" s="5" t="s">
        <v>267</v>
      </c>
    </row>
    <row r="13" spans="1:7" x14ac:dyDescent="0.25">
      <c r="A13" s="5" t="s">
        <v>81</v>
      </c>
      <c r="B13" s="4"/>
      <c r="C13" s="6" t="s">
        <v>96</v>
      </c>
      <c r="D13" s="5" t="s">
        <v>21</v>
      </c>
      <c r="G13" s="5" t="s">
        <v>265</v>
      </c>
    </row>
    <row r="14" spans="1:7" x14ac:dyDescent="0.25">
      <c r="A14" s="5" t="s">
        <v>72</v>
      </c>
      <c r="B14" s="4"/>
      <c r="C14" s="6" t="s">
        <v>97</v>
      </c>
      <c r="D14" s="5" t="s">
        <v>27</v>
      </c>
      <c r="G14" s="5" t="s">
        <v>263</v>
      </c>
    </row>
    <row r="15" spans="1:7" x14ac:dyDescent="0.25">
      <c r="A15" s="5" t="s">
        <v>82</v>
      </c>
      <c r="B15" s="4"/>
      <c r="C15" s="6" t="s">
        <v>98</v>
      </c>
      <c r="D15" s="5" t="s">
        <v>15</v>
      </c>
      <c r="G15" s="5" t="s">
        <v>262</v>
      </c>
    </row>
    <row r="16" spans="1:7" x14ac:dyDescent="0.25">
      <c r="A16" s="5" t="s">
        <v>73</v>
      </c>
      <c r="B16" s="4"/>
      <c r="C16" s="6" t="s">
        <v>99</v>
      </c>
      <c r="D16" s="5" t="s">
        <v>114</v>
      </c>
      <c r="G16" s="5" t="s">
        <v>237</v>
      </c>
    </row>
    <row r="17" spans="1:7" x14ac:dyDescent="0.25">
      <c r="A17" s="5" t="s">
        <v>74</v>
      </c>
      <c r="B17" s="4"/>
      <c r="C17" s="6" t="s">
        <v>100</v>
      </c>
      <c r="G17" s="5" t="s">
        <v>261</v>
      </c>
    </row>
    <row r="18" spans="1:7" x14ac:dyDescent="0.25">
      <c r="B18" s="4"/>
      <c r="C18" s="6" t="s">
        <v>101</v>
      </c>
      <c r="G18" s="5" t="s">
        <v>260</v>
      </c>
    </row>
    <row r="19" spans="1:7" x14ac:dyDescent="0.25">
      <c r="C19" s="6" t="s">
        <v>102</v>
      </c>
      <c r="G19" s="5" t="s">
        <v>259</v>
      </c>
    </row>
    <row r="20" spans="1:7" x14ac:dyDescent="0.25">
      <c r="C20" s="6" t="s">
        <v>103</v>
      </c>
      <c r="G20" s="5" t="s">
        <v>258</v>
      </c>
    </row>
    <row r="21" spans="1:7" x14ac:dyDescent="0.25">
      <c r="C21" s="6" t="s">
        <v>104</v>
      </c>
      <c r="G21" s="5" t="s">
        <v>257</v>
      </c>
    </row>
    <row r="22" spans="1:7" x14ac:dyDescent="0.25">
      <c r="G22" s="5" t="s">
        <v>256</v>
      </c>
    </row>
    <row r="23" spans="1:7" x14ac:dyDescent="0.25">
      <c r="G23" s="5" t="s">
        <v>255</v>
      </c>
    </row>
    <row r="24" spans="1:7" x14ac:dyDescent="0.25">
      <c r="G24" s="5" t="s">
        <v>254</v>
      </c>
    </row>
    <row r="25" spans="1:7" x14ac:dyDescent="0.25">
      <c r="G25" s="5" t="s">
        <v>253</v>
      </c>
    </row>
    <row r="26" spans="1:7" x14ac:dyDescent="0.25">
      <c r="G26" s="5" t="s">
        <v>252</v>
      </c>
    </row>
    <row r="27" spans="1:7" x14ac:dyDescent="0.25">
      <c r="G27" s="5" t="s">
        <v>251</v>
      </c>
    </row>
    <row r="28" spans="1:7" x14ac:dyDescent="0.25">
      <c r="G28" s="5" t="s">
        <v>339</v>
      </c>
    </row>
    <row r="34" spans="1:1" x14ac:dyDescent="0.25">
      <c r="A34" s="5" t="s">
        <v>336</v>
      </c>
    </row>
  </sheetData>
  <sortState xmlns:xlrd2="http://schemas.microsoft.com/office/spreadsheetml/2017/richdata2" ref="D1:D15">
    <sortCondition ref="D1"/>
  </sortState>
  <pageMargins left="0.511811024" right="0.511811024" top="0.78740157499999996" bottom="0.78740157499999996" header="0.31496062000000002" footer="0.31496062000000002"/>
  <pageSetup paperSize="28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5A4CDE-5427-4603-8A80-2A3DB4F26A6E}">
  <sheetPr>
    <tabColor rgb="FF7030A0"/>
  </sheetPr>
  <dimension ref="A1:AR36"/>
  <sheetViews>
    <sheetView showGridLines="0" topLeftCell="A2" zoomScale="120" zoomScaleNormal="120" workbookViewId="0">
      <pane xSplit="1" ySplit="2" topLeftCell="W4" activePane="bottomRight" state="frozen"/>
      <selection activeCell="H17" sqref="H17"/>
      <selection pane="topRight" activeCell="H17" sqref="H17"/>
      <selection pane="bottomLeft" activeCell="H17" sqref="H17"/>
      <selection pane="bottomRight" activeCell="J28" sqref="J28"/>
    </sheetView>
  </sheetViews>
  <sheetFormatPr defaultRowHeight="15.75" zeroHeight="1" outlineLevelCol="1" x14ac:dyDescent="0.25"/>
  <cols>
    <col min="1" max="1" width="13.28515625" style="21" hidden="1" customWidth="1" outlineLevel="1"/>
    <col min="2" max="2" width="15.42578125" style="20" hidden="1" customWidth="1" outlineLevel="1"/>
    <col min="3" max="9" width="15.5703125" style="20" hidden="1" customWidth="1" outlineLevel="1"/>
    <col min="10" max="10" width="16.140625" style="18" hidden="1" customWidth="1" outlineLevel="1"/>
    <col min="11" max="11" width="13.28515625" style="19" hidden="1" customWidth="1" outlineLevel="1"/>
    <col min="12" max="14" width="15.42578125" style="18" hidden="1" customWidth="1" outlineLevel="1"/>
    <col min="15" max="15" width="2.28515625" style="18" hidden="1" customWidth="1" outlineLevel="1"/>
    <col min="16" max="17" width="16.42578125" style="18" hidden="1" customWidth="1" outlineLevel="1"/>
    <col min="18" max="18" width="5.7109375" style="17" hidden="1" customWidth="1" outlineLevel="1"/>
    <col min="19" max="19" width="15.42578125" style="18" hidden="1" customWidth="1" outlineLevel="1"/>
    <col min="20" max="20" width="2.85546875" style="17" hidden="1" customWidth="1" outlineLevel="1"/>
    <col min="21" max="21" width="16.140625" style="18" hidden="1" customWidth="1" outlineLevel="1"/>
    <col min="22" max="22" width="2.85546875" style="17" hidden="1" customWidth="1" outlineLevel="1"/>
    <col min="23" max="23" width="16.42578125" style="15" hidden="1" customWidth="1" outlineLevel="1"/>
    <col min="24" max="24" width="19.85546875" style="15" hidden="1" customWidth="1" outlineLevel="1"/>
    <col min="25" max="25" width="16.42578125" style="16" hidden="1" customWidth="1" outlineLevel="1"/>
    <col min="26" max="26" width="16.42578125" style="15" hidden="1" customWidth="1" outlineLevel="1"/>
    <col min="27" max="27" width="16.42578125" style="16" hidden="1" customWidth="1" outlineLevel="1"/>
    <col min="28" max="28" width="16.42578125" style="15" hidden="1" customWidth="1" outlineLevel="1"/>
    <col min="29" max="29" width="2.85546875" style="1" hidden="1" customWidth="1" outlineLevel="1"/>
    <col min="30" max="30" width="11.28515625" style="1" hidden="1" customWidth="1" outlineLevel="1"/>
    <col min="31" max="31" width="3.28515625" style="1" hidden="1" customWidth="1" outlineLevel="1"/>
    <col min="32" max="32" width="18.85546875" style="1" hidden="1" customWidth="1" outlineLevel="1"/>
    <col min="33" max="33" width="4.7109375" style="1" hidden="1" customWidth="1" outlineLevel="1"/>
    <col min="34" max="34" width="18.85546875" style="15" hidden="1" customWidth="1" outlineLevel="1"/>
    <col min="35" max="35" width="9.85546875" style="1" hidden="1" customWidth="1" outlineLevel="1"/>
    <col min="36" max="36" width="39.140625" style="2" bestFit="1" customWidth="1" collapsed="1"/>
    <col min="37" max="37" width="15.7109375" style="2" bestFit="1" customWidth="1"/>
    <col min="38" max="38" width="1" style="1" customWidth="1"/>
    <col min="39" max="39" width="39" style="2" bestFit="1" customWidth="1"/>
    <col min="40" max="40" width="15.5703125" style="1" bestFit="1" customWidth="1"/>
    <col min="41" max="43" width="9.140625" style="1"/>
    <col min="44" max="44" width="12.42578125" style="1" bestFit="1" customWidth="1"/>
    <col min="45" max="16384" width="9.140625" style="1"/>
  </cols>
  <sheetData>
    <row r="1" spans="1:44" ht="16.5" hidden="1" customHeight="1" thickBot="1" x14ac:dyDescent="0.3">
      <c r="A1" s="374" t="s">
        <v>314</v>
      </c>
      <c r="B1" s="370">
        <v>0.8</v>
      </c>
      <c r="C1" s="370"/>
      <c r="D1" s="370"/>
      <c r="E1" s="370"/>
      <c r="F1" s="370"/>
      <c r="G1" s="370"/>
      <c r="H1" s="370"/>
      <c r="I1" s="370"/>
      <c r="J1" s="370"/>
      <c r="L1" s="364" t="s">
        <v>313</v>
      </c>
      <c r="M1" s="365"/>
      <c r="N1" s="366"/>
      <c r="P1" s="365" t="s">
        <v>312</v>
      </c>
      <c r="Q1" s="365"/>
      <c r="S1" s="365" t="s">
        <v>311</v>
      </c>
      <c r="U1" s="365" t="s">
        <v>310</v>
      </c>
      <c r="W1" s="370" t="s">
        <v>309</v>
      </c>
      <c r="X1" s="370"/>
      <c r="Y1" s="370"/>
      <c r="Z1" s="370"/>
      <c r="AA1" s="370"/>
      <c r="AB1" s="370"/>
    </row>
    <row r="2" spans="1:44" s="53" customFormat="1" ht="16.5" thickBot="1" x14ac:dyDescent="0.3">
      <c r="A2" s="374"/>
      <c r="B2" s="371" t="s">
        <v>307</v>
      </c>
      <c r="C2" s="371"/>
      <c r="D2" s="371"/>
      <c r="E2" s="371" t="s">
        <v>306</v>
      </c>
      <c r="F2" s="371"/>
      <c r="G2" s="371"/>
      <c r="H2" s="361" t="s">
        <v>305</v>
      </c>
      <c r="I2" s="361" t="s">
        <v>308</v>
      </c>
      <c r="J2" s="363" t="s">
        <v>315</v>
      </c>
      <c r="K2" s="59"/>
      <c r="L2" s="367"/>
      <c r="M2" s="368"/>
      <c r="N2" s="369"/>
      <c r="O2" s="58"/>
      <c r="P2" s="368"/>
      <c r="Q2" s="368"/>
      <c r="R2" s="57"/>
      <c r="S2" s="368"/>
      <c r="T2" s="57"/>
      <c r="U2" s="368"/>
      <c r="V2" s="57"/>
      <c r="W2" s="371" t="s">
        <v>307</v>
      </c>
      <c r="X2" s="371"/>
      <c r="Y2" s="371"/>
      <c r="Z2" s="371" t="s">
        <v>306</v>
      </c>
      <c r="AA2" s="371"/>
      <c r="AB2" s="56" t="s">
        <v>305</v>
      </c>
      <c r="AD2" s="372" t="s">
        <v>279</v>
      </c>
      <c r="AF2" s="372" t="s">
        <v>304</v>
      </c>
      <c r="AH2" s="375" t="s">
        <v>333</v>
      </c>
      <c r="AJ2" s="55" t="s">
        <v>303</v>
      </c>
      <c r="AK2" s="54" t="e">
        <f>'Indicadores e Metas'!#REF!</f>
        <v>#REF!</v>
      </c>
      <c r="AM2" s="359" t="s">
        <v>302</v>
      </c>
      <c r="AN2" s="360"/>
    </row>
    <row r="3" spans="1:44" s="42" customFormat="1" ht="20.25" customHeight="1" thickBot="1" x14ac:dyDescent="0.3">
      <c r="A3" s="374"/>
      <c r="B3" s="50" t="s">
        <v>301</v>
      </c>
      <c r="C3" s="50" t="s">
        <v>300</v>
      </c>
      <c r="D3" s="50" t="s">
        <v>299</v>
      </c>
      <c r="E3" s="50" t="s">
        <v>301</v>
      </c>
      <c r="F3" s="50" t="s">
        <v>300</v>
      </c>
      <c r="G3" s="50" t="s">
        <v>299</v>
      </c>
      <c r="H3" s="362"/>
      <c r="I3" s="362"/>
      <c r="J3" s="362"/>
      <c r="K3" s="52"/>
      <c r="L3" s="50" t="s">
        <v>298</v>
      </c>
      <c r="M3" s="50" t="s">
        <v>297</v>
      </c>
      <c r="N3" s="50" t="s">
        <v>296</v>
      </c>
      <c r="O3" s="51"/>
      <c r="P3" s="62" t="s">
        <v>295</v>
      </c>
      <c r="Q3" s="62" t="s">
        <v>294</v>
      </c>
      <c r="R3" s="48"/>
      <c r="S3" s="49" t="s">
        <v>293</v>
      </c>
      <c r="T3" s="48"/>
      <c r="U3" s="49" t="s">
        <v>292</v>
      </c>
      <c r="V3" s="48"/>
      <c r="W3" s="47" t="s">
        <v>316</v>
      </c>
      <c r="X3" s="47" t="s">
        <v>317</v>
      </c>
      <c r="Y3" s="45" t="s">
        <v>291</v>
      </c>
      <c r="Z3" s="46" t="s">
        <v>290</v>
      </c>
      <c r="AA3" s="45" t="s">
        <v>291</v>
      </c>
      <c r="AB3" s="44" t="s">
        <v>290</v>
      </c>
      <c r="AD3" s="373"/>
      <c r="AF3" s="373"/>
      <c r="AH3" s="375"/>
      <c r="AJ3" s="37" t="s">
        <v>5</v>
      </c>
      <c r="AK3" s="43" t="e">
        <f>AK4+AK14+AK15+AK16</f>
        <v>#REF!</v>
      </c>
      <c r="AM3" s="37" t="s">
        <v>289</v>
      </c>
      <c r="AN3" s="36" t="e">
        <f>VLOOKUP($AK$2,'Diretrizes - Resumo'!$A$4:$Q$30,16,)</f>
        <v>#REF!</v>
      </c>
    </row>
    <row r="4" spans="1:44" ht="16.5" thickBot="1" x14ac:dyDescent="0.3">
      <c r="A4" s="27" t="s">
        <v>288</v>
      </c>
      <c r="B4" s="20">
        <v>173779.93599999999</v>
      </c>
      <c r="C4" s="20">
        <v>28680.296000000002</v>
      </c>
      <c r="D4" s="20">
        <f t="shared" ref="D4" si="0">B4+C4</f>
        <v>202460.23199999999</v>
      </c>
      <c r="E4" s="20">
        <v>26559.703999999998</v>
      </c>
      <c r="F4" s="20">
        <v>7609.2720000000008</v>
      </c>
      <c r="G4" s="20">
        <f t="shared" ref="G4" si="1">E4+F4</f>
        <v>34168.975999999995</v>
      </c>
      <c r="H4" s="20">
        <v>235854.82</v>
      </c>
      <c r="I4" s="20">
        <v>24707.91</v>
      </c>
      <c r="J4" s="26">
        <f t="shared" ref="J4:J30" si="2">I4+H4+G4+D4</f>
        <v>497191.93799999997</v>
      </c>
      <c r="K4" s="60">
        <v>0</v>
      </c>
      <c r="L4" s="20">
        <v>9108.9120471532424</v>
      </c>
      <c r="M4" s="20">
        <v>17240</v>
      </c>
      <c r="N4" s="20">
        <v>754537.39605743252</v>
      </c>
      <c r="P4" s="20">
        <v>39070.160000000003</v>
      </c>
      <c r="Q4" s="20">
        <v>4657.0560574324481</v>
      </c>
      <c r="R4" s="61">
        <v>0</v>
      </c>
      <c r="S4" s="20"/>
      <c r="U4" s="20">
        <v>2525.3977976760007</v>
      </c>
      <c r="W4" s="24">
        <v>736</v>
      </c>
      <c r="X4" s="24">
        <v>725</v>
      </c>
      <c r="Y4" s="25">
        <v>36.137931034482762</v>
      </c>
      <c r="Z4" s="24">
        <v>146</v>
      </c>
      <c r="AA4" s="25">
        <v>52.054794520547951</v>
      </c>
      <c r="AB4" s="24">
        <v>2724</v>
      </c>
      <c r="AD4" s="17">
        <v>0</v>
      </c>
      <c r="AF4" s="17">
        <v>669680.75</v>
      </c>
      <c r="AG4" s="53"/>
      <c r="AH4" s="120">
        <v>906876</v>
      </c>
      <c r="AJ4" s="31" t="s">
        <v>54</v>
      </c>
      <c r="AK4" s="41" t="e">
        <f>AK5+AK12+AK13</f>
        <v>#REF!</v>
      </c>
      <c r="AM4" s="31" t="s">
        <v>287</v>
      </c>
      <c r="AN4" s="36" t="e">
        <f>VLOOKUP($AK$2,'Diretrizes - Resumo'!$A$4:$Q$30,17,)</f>
        <v>#REF!</v>
      </c>
      <c r="AR4" s="23"/>
    </row>
    <row r="5" spans="1:44" ht="16.5" thickBot="1" x14ac:dyDescent="0.3">
      <c r="A5" s="27" t="s">
        <v>286</v>
      </c>
      <c r="B5" s="20">
        <v>529644.17599999998</v>
      </c>
      <c r="C5" s="20">
        <v>119850.66399999999</v>
      </c>
      <c r="D5" s="20">
        <f t="shared" ref="D5:D30" si="3">B5+C5</f>
        <v>649494.84</v>
      </c>
      <c r="E5" s="20">
        <v>28274.615999999998</v>
      </c>
      <c r="F5" s="20">
        <v>19201.423999999999</v>
      </c>
      <c r="G5" s="20">
        <f t="shared" ref="G5:G30" si="4">E5+F5</f>
        <v>47476.039999999994</v>
      </c>
      <c r="H5" s="20">
        <v>623231.63</v>
      </c>
      <c r="I5" s="20">
        <v>85690.17</v>
      </c>
      <c r="J5" s="26">
        <f t="shared" si="2"/>
        <v>1405892.6800000002</v>
      </c>
      <c r="K5" s="60">
        <v>0</v>
      </c>
      <c r="L5" s="20">
        <v>25584.128262041868</v>
      </c>
      <c r="M5" s="20"/>
      <c r="N5" s="20"/>
      <c r="P5" s="20">
        <v>109736.05</v>
      </c>
      <c r="Q5" s="20">
        <v>12970.234884836624</v>
      </c>
      <c r="R5" s="61">
        <v>0</v>
      </c>
      <c r="S5" s="20"/>
      <c r="U5" s="20">
        <v>5973.4512300060005</v>
      </c>
      <c r="W5" s="24">
        <v>2183</v>
      </c>
      <c r="X5" s="24">
        <v>2095</v>
      </c>
      <c r="Y5" s="25">
        <v>32.410501193317415</v>
      </c>
      <c r="Z5" s="24">
        <v>174</v>
      </c>
      <c r="AA5" s="25">
        <v>56.896551724137936</v>
      </c>
      <c r="AB5" s="24">
        <v>7198</v>
      </c>
      <c r="AD5" s="17">
        <v>0</v>
      </c>
      <c r="AF5" s="17">
        <v>459563.48000000004</v>
      </c>
      <c r="AG5" s="17"/>
      <c r="AH5" s="120">
        <v>3365351</v>
      </c>
      <c r="AJ5" s="31" t="s">
        <v>6</v>
      </c>
      <c r="AK5" s="41" t="e">
        <f>AK6+AK9</f>
        <v>#REF!</v>
      </c>
      <c r="AM5" s="31" t="s">
        <v>285</v>
      </c>
      <c r="AN5" s="36" t="e">
        <f>VLOOKUP($AK$2,'Diretrizes - Resumo'!$A$4:$S$30,19,)</f>
        <v>#REF!</v>
      </c>
      <c r="AR5" s="23"/>
    </row>
    <row r="6" spans="1:44" ht="16.5" thickBot="1" x14ac:dyDescent="0.3">
      <c r="A6" s="27" t="s">
        <v>284</v>
      </c>
      <c r="B6" s="20">
        <v>571370.08000000007</v>
      </c>
      <c r="C6" s="20">
        <v>121138.20800000001</v>
      </c>
      <c r="D6" s="20">
        <f t="shared" si="3"/>
        <v>692508.28800000006</v>
      </c>
      <c r="E6" s="20">
        <v>46580.504000000001</v>
      </c>
      <c r="F6" s="20">
        <v>21504.728000000003</v>
      </c>
      <c r="G6" s="20">
        <f t="shared" si="4"/>
        <v>68085.232000000004</v>
      </c>
      <c r="H6" s="20">
        <v>580459.14</v>
      </c>
      <c r="I6" s="20">
        <v>67052.63</v>
      </c>
      <c r="J6" s="26">
        <f t="shared" si="2"/>
        <v>1408105.29</v>
      </c>
      <c r="K6" s="60">
        <v>0</v>
      </c>
      <c r="L6" s="20">
        <v>25660.497814048096</v>
      </c>
      <c r="M6" s="20"/>
      <c r="N6" s="20"/>
      <c r="P6" s="20">
        <v>110063.62</v>
      </c>
      <c r="Q6" s="20">
        <v>12732.700211732939</v>
      </c>
      <c r="R6" s="61">
        <v>0</v>
      </c>
      <c r="S6" s="20"/>
      <c r="U6" s="20">
        <v>5608.741874710001</v>
      </c>
      <c r="W6" s="24">
        <v>2200</v>
      </c>
      <c r="X6" s="24">
        <v>2182</v>
      </c>
      <c r="Y6" s="25">
        <v>32.447296058661777</v>
      </c>
      <c r="Z6" s="24">
        <v>260</v>
      </c>
      <c r="AA6" s="25">
        <v>52.692307692307693</v>
      </c>
      <c r="AB6" s="24">
        <v>6704</v>
      </c>
      <c r="AD6" s="17">
        <v>0</v>
      </c>
      <c r="AF6" s="17">
        <v>984059.28000000014</v>
      </c>
      <c r="AG6" s="17"/>
      <c r="AH6" s="120">
        <v>4269995</v>
      </c>
      <c r="AJ6" s="31" t="s">
        <v>7</v>
      </c>
      <c r="AK6" s="40" t="e">
        <f>SUM(AK7:AK8)</f>
        <v>#REF!</v>
      </c>
      <c r="AM6" s="31" t="s">
        <v>283</v>
      </c>
      <c r="AN6" s="36" t="e">
        <f>VLOOKUP($AK$2,'Diretrizes - Resumo'!$A$4:$M$30,12,)</f>
        <v>#REF!</v>
      </c>
      <c r="AR6" s="23"/>
    </row>
    <row r="7" spans="1:44" ht="16.5" thickBot="1" x14ac:dyDescent="0.3">
      <c r="A7" s="27" t="s">
        <v>282</v>
      </c>
      <c r="B7" s="20">
        <v>199437.94400000002</v>
      </c>
      <c r="C7" s="20">
        <v>40871.728000000003</v>
      </c>
      <c r="D7" s="20">
        <f t="shared" si="3"/>
        <v>240309.67200000002</v>
      </c>
      <c r="E7" s="20">
        <v>33169.32</v>
      </c>
      <c r="F7" s="20">
        <v>22426.176000000003</v>
      </c>
      <c r="G7" s="20">
        <f t="shared" si="4"/>
        <v>55595.495999999999</v>
      </c>
      <c r="H7" s="20">
        <v>297156.28999999998</v>
      </c>
      <c r="I7" s="20">
        <v>29653.07</v>
      </c>
      <c r="J7" s="26">
        <f t="shared" si="2"/>
        <v>622714.52799999993</v>
      </c>
      <c r="K7" s="60">
        <v>0</v>
      </c>
      <c r="L7" s="20">
        <v>11617.791798420327</v>
      </c>
      <c r="M7" s="20">
        <v>18040</v>
      </c>
      <c r="N7" s="20">
        <v>629725.45006169006</v>
      </c>
      <c r="P7" s="20">
        <v>49831.31</v>
      </c>
      <c r="Q7" s="20">
        <v>5762.7040616900194</v>
      </c>
      <c r="R7" s="61">
        <v>0</v>
      </c>
      <c r="S7" s="20"/>
      <c r="U7" s="20">
        <v>2768.9817116520007</v>
      </c>
      <c r="W7" s="24">
        <v>859.6</v>
      </c>
      <c r="X7" s="24">
        <v>853.6</v>
      </c>
      <c r="Y7" s="25">
        <v>39.081537019681356</v>
      </c>
      <c r="Z7" s="24">
        <v>292</v>
      </c>
      <c r="AA7" s="25">
        <v>70.205479452054789</v>
      </c>
      <c r="AB7" s="24">
        <v>3432</v>
      </c>
      <c r="AD7" s="17">
        <v>0</v>
      </c>
      <c r="AF7" s="17">
        <v>829755.32</v>
      </c>
      <c r="AG7" s="17"/>
      <c r="AH7" s="120">
        <v>877613</v>
      </c>
      <c r="AJ7" s="38" t="s">
        <v>183</v>
      </c>
      <c r="AK7" s="36" t="e">
        <f>VLOOKUP($AK$2,'Diretrizes - Resumo'!$A$4:$I$30,2,)</f>
        <v>#REF!</v>
      </c>
      <c r="AM7" s="31" t="s">
        <v>281</v>
      </c>
      <c r="AN7" s="36" t="e">
        <f>VLOOKUP($AK$2,'Diretrizes - Resumo'!$A$4:$M$30,13,)</f>
        <v>#REF!</v>
      </c>
      <c r="AR7" s="23"/>
    </row>
    <row r="8" spans="1:44" ht="16.5" thickBot="1" x14ac:dyDescent="0.3">
      <c r="A8" s="27" t="s">
        <v>280</v>
      </c>
      <c r="B8" s="20">
        <v>1635572.3840000003</v>
      </c>
      <c r="C8" s="20">
        <v>294898.40000000002</v>
      </c>
      <c r="D8" s="20">
        <f t="shared" si="3"/>
        <v>1930470.7840000005</v>
      </c>
      <c r="E8" s="20">
        <v>190196.36800000002</v>
      </c>
      <c r="F8" s="20">
        <v>80935.024000000005</v>
      </c>
      <c r="G8" s="20">
        <f t="shared" si="4"/>
        <v>271131.39199999999</v>
      </c>
      <c r="H8" s="20">
        <v>1581889.68</v>
      </c>
      <c r="I8" s="20">
        <v>190281.52</v>
      </c>
      <c r="J8" s="26">
        <f t="shared" si="2"/>
        <v>3973773.3760000002</v>
      </c>
      <c r="K8" s="60">
        <v>0</v>
      </c>
      <c r="L8" s="20">
        <v>72931.013699093732</v>
      </c>
      <c r="M8" s="20"/>
      <c r="N8" s="20"/>
      <c r="P8" s="20">
        <v>312817.45</v>
      </c>
      <c r="Q8" s="20">
        <v>37600.721619223594</v>
      </c>
      <c r="R8" s="61">
        <v>0</v>
      </c>
      <c r="S8" s="20"/>
      <c r="U8" s="20">
        <v>13509.034775547998</v>
      </c>
      <c r="W8" s="24">
        <v>7366.3</v>
      </c>
      <c r="X8" s="24">
        <v>6563.3</v>
      </c>
      <c r="Y8" s="25">
        <v>30.857952554355279</v>
      </c>
      <c r="Z8" s="24">
        <v>1025</v>
      </c>
      <c r="AA8" s="25">
        <v>50.926829268292686</v>
      </c>
      <c r="AB8" s="24">
        <v>18270</v>
      </c>
      <c r="AD8" s="17">
        <v>0</v>
      </c>
      <c r="AF8" s="17">
        <v>6314976.8100000005</v>
      </c>
      <c r="AG8" s="17"/>
      <c r="AH8" s="120">
        <v>14985284</v>
      </c>
      <c r="AJ8" s="38" t="s">
        <v>52</v>
      </c>
      <c r="AK8" s="36" t="e">
        <f>VLOOKUP($AK$2,'Diretrizes - Resumo'!$A$4:$I$30,3,)</f>
        <v>#REF!</v>
      </c>
      <c r="AM8" s="82" t="s">
        <v>279</v>
      </c>
      <c r="AN8" s="81" t="e">
        <f>VLOOKUP($AK$2,$A$4:$AF$30,29,)</f>
        <v>#REF!</v>
      </c>
      <c r="AR8" s="23"/>
    </row>
    <row r="9" spans="1:44" ht="16.5" thickBot="1" x14ac:dyDescent="0.3">
      <c r="A9" s="27" t="s">
        <v>278</v>
      </c>
      <c r="B9" s="20">
        <v>1073890.6000000001</v>
      </c>
      <c r="C9" s="20">
        <v>168626.54399999999</v>
      </c>
      <c r="D9" s="20">
        <f t="shared" si="3"/>
        <v>1242517.1440000001</v>
      </c>
      <c r="E9" s="20">
        <v>95297.712</v>
      </c>
      <c r="F9" s="20">
        <v>29076.736000000001</v>
      </c>
      <c r="G9" s="20">
        <f t="shared" si="4"/>
        <v>124374.448</v>
      </c>
      <c r="H9" s="20">
        <v>1034072.71</v>
      </c>
      <c r="I9" s="20">
        <v>107937.7</v>
      </c>
      <c r="J9" s="26">
        <f t="shared" si="2"/>
        <v>2508902.0020000003</v>
      </c>
      <c r="K9" s="60">
        <v>0</v>
      </c>
      <c r="L9" s="20">
        <v>45719.891289323386</v>
      </c>
      <c r="M9" s="20"/>
      <c r="N9" s="20"/>
      <c r="P9" s="20">
        <v>196102.85</v>
      </c>
      <c r="Q9" s="20">
        <v>23608.631521290605</v>
      </c>
      <c r="R9" s="61">
        <v>0</v>
      </c>
      <c r="S9" s="20">
        <v>17423.81414516392</v>
      </c>
      <c r="U9" s="20">
        <v>8893.9349598320005</v>
      </c>
      <c r="W9" s="24">
        <v>4728</v>
      </c>
      <c r="X9" s="24">
        <v>4542</v>
      </c>
      <c r="Y9" s="25">
        <v>32.298546895640683</v>
      </c>
      <c r="Z9" s="24">
        <v>437</v>
      </c>
      <c r="AA9" s="25">
        <v>42.334096109839813</v>
      </c>
      <c r="AB9" s="24">
        <v>11943</v>
      </c>
      <c r="AD9" s="17">
        <v>0</v>
      </c>
      <c r="AF9" s="17">
        <v>1187299.8600000001</v>
      </c>
      <c r="AG9" s="17"/>
      <c r="AH9" s="120">
        <v>9240580</v>
      </c>
      <c r="AJ9" s="31" t="s">
        <v>8</v>
      </c>
      <c r="AK9" s="39" t="e">
        <f>SUM(AK10:AK11)</f>
        <v>#REF!</v>
      </c>
      <c r="AM9" s="31" t="s">
        <v>277</v>
      </c>
      <c r="AN9" s="36" t="e">
        <f>VLOOKUP($AK$2,$A$4:$AF$30,32,)</f>
        <v>#REF!</v>
      </c>
      <c r="AR9" s="23"/>
    </row>
    <row r="10" spans="1:44" ht="16.5" thickBot="1" x14ac:dyDescent="0.3">
      <c r="A10" s="27" t="s">
        <v>276</v>
      </c>
      <c r="B10" s="20">
        <v>1778840.4559999995</v>
      </c>
      <c r="C10" s="20">
        <v>272509.68800000002</v>
      </c>
      <c r="D10" s="20">
        <f t="shared" si="3"/>
        <v>2051350.1439999996</v>
      </c>
      <c r="E10" s="20">
        <v>133096.54399999999</v>
      </c>
      <c r="F10" s="20">
        <v>53126.96</v>
      </c>
      <c r="G10" s="20">
        <f t="shared" si="4"/>
        <v>186223.50399999999</v>
      </c>
      <c r="H10" s="20">
        <v>1539550.1</v>
      </c>
      <c r="I10" s="20">
        <v>216423.76</v>
      </c>
      <c r="J10" s="26">
        <f t="shared" si="2"/>
        <v>3993547.5079999994</v>
      </c>
      <c r="K10" s="60">
        <v>0</v>
      </c>
      <c r="L10" s="20">
        <v>72880.70202486412</v>
      </c>
      <c r="M10" s="20"/>
      <c r="N10" s="20"/>
      <c r="P10" s="20">
        <v>312601.65000000002</v>
      </c>
      <c r="Q10" s="20">
        <v>42200.896909131261</v>
      </c>
      <c r="R10" s="61">
        <v>0</v>
      </c>
      <c r="S10" s="20"/>
      <c r="U10" s="20">
        <v>14886.088719709998</v>
      </c>
      <c r="W10" s="24">
        <v>6845.6</v>
      </c>
      <c r="X10" s="24">
        <v>6318.6</v>
      </c>
      <c r="Y10" s="25">
        <v>26.581837748868423</v>
      </c>
      <c r="Z10" s="24">
        <v>804</v>
      </c>
      <c r="AA10" s="25">
        <v>56.218905472636813</v>
      </c>
      <c r="AB10" s="24">
        <v>17781</v>
      </c>
      <c r="AD10" s="17">
        <v>0</v>
      </c>
      <c r="AF10" s="17">
        <v>1020703.8599999999</v>
      </c>
      <c r="AG10" s="17"/>
      <c r="AH10" s="120">
        <v>3094325</v>
      </c>
      <c r="AJ10" s="38" t="s">
        <v>184</v>
      </c>
      <c r="AK10" s="36" t="e">
        <f>VLOOKUP($AK$2,'Diretrizes - Resumo'!$A$4:$J$30,5,)</f>
        <v>#REF!</v>
      </c>
      <c r="AR10" s="23"/>
    </row>
    <row r="11" spans="1:44" ht="16.5" thickBot="1" x14ac:dyDescent="0.3">
      <c r="A11" s="27" t="s">
        <v>275</v>
      </c>
      <c r="B11" s="20">
        <v>1437738.3759999999</v>
      </c>
      <c r="C11" s="20">
        <v>82239.352000000014</v>
      </c>
      <c r="D11" s="20">
        <f t="shared" si="3"/>
        <v>1519977.7279999999</v>
      </c>
      <c r="E11" s="20">
        <v>128752.43200000002</v>
      </c>
      <c r="F11" s="20">
        <v>14149.88</v>
      </c>
      <c r="G11" s="20">
        <f t="shared" si="4"/>
        <v>142902.31200000001</v>
      </c>
      <c r="H11" s="20">
        <v>1327246.1399999999</v>
      </c>
      <c r="I11" s="20">
        <v>149580.47</v>
      </c>
      <c r="J11" s="26">
        <f t="shared" si="2"/>
        <v>3139706.6499999994</v>
      </c>
      <c r="K11" s="60">
        <v>0</v>
      </c>
      <c r="L11" s="20">
        <v>57264.654858299888</v>
      </c>
      <c r="M11" s="20"/>
      <c r="N11" s="20"/>
      <c r="P11" s="20">
        <v>245620.93</v>
      </c>
      <c r="Q11" s="20">
        <v>29557.581779246742</v>
      </c>
      <c r="R11" s="61">
        <v>0</v>
      </c>
      <c r="S11" s="20"/>
      <c r="U11" s="20">
        <v>11997.369723430005</v>
      </c>
      <c r="W11" s="24">
        <v>4055</v>
      </c>
      <c r="X11" s="24">
        <v>3960</v>
      </c>
      <c r="Y11" s="25">
        <v>6.868686868686865</v>
      </c>
      <c r="Z11" s="24">
        <v>484</v>
      </c>
      <c r="AA11" s="25">
        <v>29.545454545454547</v>
      </c>
      <c r="AB11" s="24">
        <v>15329</v>
      </c>
      <c r="AD11" s="17">
        <v>0</v>
      </c>
      <c r="AF11" s="17">
        <v>2085182.6499999997</v>
      </c>
      <c r="AG11" s="17"/>
      <c r="AH11" s="120">
        <v>4108508</v>
      </c>
      <c r="AJ11" s="38" t="s">
        <v>53</v>
      </c>
      <c r="AK11" s="36" t="e">
        <f>VLOOKUP($AK$2,'Diretrizes - Resumo'!$A$4:$I$30,6,)</f>
        <v>#REF!</v>
      </c>
      <c r="AR11" s="23"/>
    </row>
    <row r="12" spans="1:44" ht="16.5" thickBot="1" x14ac:dyDescent="0.3">
      <c r="A12" s="27" t="s">
        <v>273</v>
      </c>
      <c r="B12" s="20">
        <v>1379093.6640000001</v>
      </c>
      <c r="C12" s="20">
        <v>221931.152</v>
      </c>
      <c r="D12" s="20">
        <f t="shared" si="3"/>
        <v>1601024.8160000001</v>
      </c>
      <c r="E12" s="20">
        <v>82964.975999999995</v>
      </c>
      <c r="F12" s="20">
        <v>90843.423999999999</v>
      </c>
      <c r="G12" s="20">
        <f t="shared" si="4"/>
        <v>173808.4</v>
      </c>
      <c r="H12" s="20">
        <v>2651635</v>
      </c>
      <c r="I12" s="20">
        <v>158024.91</v>
      </c>
      <c r="J12" s="26">
        <f t="shared" si="2"/>
        <v>4584493.1260000002</v>
      </c>
      <c r="K12" s="60">
        <v>0</v>
      </c>
      <c r="L12" s="20">
        <v>84498.899430433084</v>
      </c>
      <c r="M12" s="20"/>
      <c r="N12" s="20"/>
      <c r="P12" s="20">
        <v>362434.7</v>
      </c>
      <c r="Q12" s="20">
        <v>43313.642250348523</v>
      </c>
      <c r="R12" s="61">
        <v>0</v>
      </c>
      <c r="S12" s="20"/>
      <c r="U12" s="20">
        <v>20244.566489575998</v>
      </c>
      <c r="W12" s="24">
        <v>5336</v>
      </c>
      <c r="X12" s="24">
        <v>5100</v>
      </c>
      <c r="Y12" s="25">
        <v>28.274509803921561</v>
      </c>
      <c r="Z12" s="24">
        <v>721</v>
      </c>
      <c r="AA12" s="25">
        <v>69.625520110957012</v>
      </c>
      <c r="AB12" s="24">
        <v>30625</v>
      </c>
      <c r="AD12" s="17">
        <v>0</v>
      </c>
      <c r="AF12" s="17">
        <v>2015911.7999999998</v>
      </c>
      <c r="AG12" s="17"/>
      <c r="AH12" s="120">
        <v>7206589</v>
      </c>
      <c r="AJ12" s="33" t="s">
        <v>49</v>
      </c>
      <c r="AK12" s="36" t="e">
        <f>VLOOKUP($AK$2,'Diretrizes - Resumo'!$A$4:$I$30,8,)</f>
        <v>#REF!</v>
      </c>
      <c r="AR12" s="23"/>
    </row>
    <row r="13" spans="1:44" ht="16.5" thickBot="1" x14ac:dyDescent="0.3">
      <c r="A13" s="27" t="s">
        <v>272</v>
      </c>
      <c r="B13" s="20">
        <v>511040.36800000002</v>
      </c>
      <c r="C13" s="20">
        <v>104363.144</v>
      </c>
      <c r="D13" s="20">
        <f t="shared" si="3"/>
        <v>615403.51199999999</v>
      </c>
      <c r="E13" s="20">
        <v>41637.815999999999</v>
      </c>
      <c r="F13" s="20">
        <v>37561.279999999999</v>
      </c>
      <c r="G13" s="20">
        <f t="shared" si="4"/>
        <v>79199.09599999999</v>
      </c>
      <c r="H13" s="20">
        <v>479848.53</v>
      </c>
      <c r="I13" s="20">
        <v>52850.3</v>
      </c>
      <c r="J13" s="26">
        <f t="shared" si="2"/>
        <v>1227301.4380000001</v>
      </c>
      <c r="K13" s="60">
        <v>0</v>
      </c>
      <c r="L13" s="20">
        <v>22699.741551492109</v>
      </c>
      <c r="M13" s="20">
        <v>17240</v>
      </c>
      <c r="N13" s="20">
        <v>124511.19545994185</v>
      </c>
      <c r="P13" s="20">
        <v>97364.27</v>
      </c>
      <c r="Q13" s="20">
        <v>11374.589459941722</v>
      </c>
      <c r="R13" s="61">
        <v>0</v>
      </c>
      <c r="S13" s="20"/>
      <c r="U13" s="20">
        <v>4047.925050624001</v>
      </c>
      <c r="W13" s="24">
        <v>2161</v>
      </c>
      <c r="X13" s="24">
        <v>2133</v>
      </c>
      <c r="Y13" s="25">
        <v>35.067979371776829</v>
      </c>
      <c r="Z13" s="24">
        <v>301</v>
      </c>
      <c r="AA13" s="25">
        <v>63.455149501661126</v>
      </c>
      <c r="AB13" s="24">
        <v>5542</v>
      </c>
      <c r="AD13" s="17">
        <v>0</v>
      </c>
      <c r="AF13" s="17">
        <v>67318.429999999993</v>
      </c>
      <c r="AG13" s="17"/>
      <c r="AH13" s="120">
        <v>7153262</v>
      </c>
      <c r="AJ13" s="33" t="s">
        <v>271</v>
      </c>
      <c r="AK13" s="36" t="e">
        <f>VLOOKUP($AK$2,'Diretrizes - Resumo'!$A$4:$I$30,9,)</f>
        <v>#REF!</v>
      </c>
      <c r="AR13" s="23"/>
    </row>
    <row r="14" spans="1:44" ht="16.5" thickBot="1" x14ac:dyDescent="0.3">
      <c r="A14" s="27" t="s">
        <v>269</v>
      </c>
      <c r="B14" s="20">
        <v>4786978.784</v>
      </c>
      <c r="C14" s="20">
        <v>672571.16</v>
      </c>
      <c r="D14" s="20">
        <f t="shared" si="3"/>
        <v>5459549.9440000001</v>
      </c>
      <c r="E14" s="20">
        <v>430923.35200000007</v>
      </c>
      <c r="F14" s="20">
        <v>80833.144</v>
      </c>
      <c r="G14" s="20">
        <f t="shared" si="4"/>
        <v>511756.49600000004</v>
      </c>
      <c r="H14" s="20">
        <v>4935114.83</v>
      </c>
      <c r="I14" s="20">
        <v>592965.98</v>
      </c>
      <c r="J14" s="26">
        <f t="shared" si="2"/>
        <v>11499387.25</v>
      </c>
      <c r="K14" s="60">
        <v>0</v>
      </c>
      <c r="L14" s="20">
        <v>208977.01377463364</v>
      </c>
      <c r="M14" s="20"/>
      <c r="N14" s="20"/>
      <c r="P14" s="20">
        <v>896349.2</v>
      </c>
      <c r="Q14" s="20">
        <v>111232.1710148775</v>
      </c>
      <c r="R14" s="61">
        <v>0</v>
      </c>
      <c r="S14" s="20"/>
      <c r="U14" s="20">
        <v>47746.521404244006</v>
      </c>
      <c r="W14" s="24">
        <v>17458</v>
      </c>
      <c r="X14" s="24">
        <v>16749</v>
      </c>
      <c r="Y14" s="25">
        <v>24.67610006567557</v>
      </c>
      <c r="Z14" s="24">
        <v>1892</v>
      </c>
      <c r="AA14" s="25">
        <v>39.746300211416482</v>
      </c>
      <c r="AB14" s="24">
        <v>56998</v>
      </c>
      <c r="AD14" s="17">
        <v>0</v>
      </c>
      <c r="AF14" s="17">
        <v>9291279.5399999991</v>
      </c>
      <c r="AG14" s="17"/>
      <c r="AH14" s="120">
        <v>21411923</v>
      </c>
      <c r="AJ14" s="33" t="s">
        <v>9</v>
      </c>
      <c r="AK14" s="35"/>
      <c r="AR14" s="23"/>
    </row>
    <row r="15" spans="1:44" ht="16.5" thickBot="1" x14ac:dyDescent="0.3">
      <c r="A15" s="27" t="s">
        <v>267</v>
      </c>
      <c r="B15" s="20">
        <v>854276.04800000007</v>
      </c>
      <c r="C15" s="20">
        <v>228507.67200000002</v>
      </c>
      <c r="D15" s="20">
        <f t="shared" si="3"/>
        <v>1082783.7200000002</v>
      </c>
      <c r="E15" s="20">
        <v>121900.35200000001</v>
      </c>
      <c r="F15" s="20">
        <v>53173.90400000001</v>
      </c>
      <c r="G15" s="20">
        <f t="shared" si="4"/>
        <v>175074.25600000002</v>
      </c>
      <c r="H15" s="20">
        <v>1860776.74</v>
      </c>
      <c r="I15" s="20">
        <v>144739.51999999999</v>
      </c>
      <c r="J15" s="26">
        <f t="shared" si="2"/>
        <v>3263374.236</v>
      </c>
      <c r="K15" s="60">
        <v>0</v>
      </c>
      <c r="L15" s="20">
        <v>59706.587859465071</v>
      </c>
      <c r="M15" s="20"/>
      <c r="N15" s="20"/>
      <c r="P15" s="20">
        <v>256094.92</v>
      </c>
      <c r="Q15" s="20">
        <v>30235.562340461736</v>
      </c>
      <c r="R15" s="61">
        <v>0</v>
      </c>
      <c r="S15" s="20"/>
      <c r="U15" s="20">
        <v>14188.692829558004</v>
      </c>
      <c r="W15" s="24">
        <v>3649</v>
      </c>
      <c r="X15" s="24">
        <v>3554</v>
      </c>
      <c r="Y15" s="25">
        <v>36.381541924592007</v>
      </c>
      <c r="Z15" s="24">
        <v>686</v>
      </c>
      <c r="AA15" s="25">
        <v>52.915451895043731</v>
      </c>
      <c r="AB15" s="24">
        <v>21491</v>
      </c>
      <c r="AD15" s="17">
        <v>0</v>
      </c>
      <c r="AF15" s="17">
        <v>715780.57</v>
      </c>
      <c r="AG15" s="17"/>
      <c r="AH15" s="120">
        <v>2839188</v>
      </c>
      <c r="AJ15" s="33" t="s">
        <v>111</v>
      </c>
      <c r="AK15" s="32" t="e">
        <f>VLOOKUP($AK$2,'Diretrizes - Resumo'!$A$4:$U$30,21,)</f>
        <v>#REF!</v>
      </c>
      <c r="AR15" s="23"/>
    </row>
    <row r="16" spans="1:44" ht="16.5" thickBot="1" x14ac:dyDescent="0.3">
      <c r="A16" s="27" t="s">
        <v>265</v>
      </c>
      <c r="B16" s="20">
        <v>1059141.1679999998</v>
      </c>
      <c r="C16" s="20">
        <v>128444.17600000001</v>
      </c>
      <c r="D16" s="20">
        <f t="shared" si="3"/>
        <v>1187585.3439999998</v>
      </c>
      <c r="E16" s="20">
        <v>108266.90399999998</v>
      </c>
      <c r="F16" s="20">
        <v>47635.456000000006</v>
      </c>
      <c r="G16" s="20">
        <f t="shared" si="4"/>
        <v>155902.35999999999</v>
      </c>
      <c r="H16" s="20">
        <v>2977710.34</v>
      </c>
      <c r="I16" s="20">
        <v>129635.94</v>
      </c>
      <c r="J16" s="26">
        <f t="shared" si="2"/>
        <v>4450833.9839999992</v>
      </c>
      <c r="K16" s="60">
        <v>0</v>
      </c>
      <c r="L16" s="20">
        <v>81621.154888239675</v>
      </c>
      <c r="M16" s="20"/>
      <c r="N16" s="20"/>
      <c r="P16" s="20">
        <v>350091.41</v>
      </c>
      <c r="Q16" s="20">
        <v>42028.667586903612</v>
      </c>
      <c r="R16" s="61">
        <v>0</v>
      </c>
      <c r="S16" s="20"/>
      <c r="U16" s="20">
        <v>18539.373852427998</v>
      </c>
      <c r="W16" s="24">
        <v>3626</v>
      </c>
      <c r="X16" s="24">
        <v>3563</v>
      </c>
      <c r="Y16" s="25">
        <v>23.294976143699131</v>
      </c>
      <c r="Z16" s="24">
        <v>643</v>
      </c>
      <c r="AA16" s="25">
        <v>55.520995334370141</v>
      </c>
      <c r="AB16" s="24">
        <v>34391</v>
      </c>
      <c r="AD16" s="17">
        <v>0</v>
      </c>
      <c r="AF16" s="17">
        <v>1836973.55</v>
      </c>
      <c r="AG16" s="17"/>
      <c r="AH16" s="120">
        <v>3567234</v>
      </c>
      <c r="AJ16" s="33" t="s">
        <v>10</v>
      </c>
      <c r="AK16" s="32" t="e">
        <f>VLOOKUP($AK$2,'Diretrizes - Resumo'!$A$4:$N$30,14,)</f>
        <v>#REF!</v>
      </c>
      <c r="AR16" s="23"/>
    </row>
    <row r="17" spans="1:44" ht="16.5" thickBot="1" x14ac:dyDescent="0.3">
      <c r="A17" s="27" t="s">
        <v>263</v>
      </c>
      <c r="B17" s="20">
        <v>631256.57600000012</v>
      </c>
      <c r="C17" s="20">
        <v>288818.38400000002</v>
      </c>
      <c r="D17" s="20">
        <f t="shared" si="3"/>
        <v>920074.9600000002</v>
      </c>
      <c r="E17" s="20">
        <v>51412.072</v>
      </c>
      <c r="F17" s="20">
        <v>30925.567999999999</v>
      </c>
      <c r="G17" s="20">
        <f t="shared" si="4"/>
        <v>82337.64</v>
      </c>
      <c r="H17" s="20">
        <v>718127.7</v>
      </c>
      <c r="I17" s="20">
        <v>77424.31</v>
      </c>
      <c r="J17" s="26">
        <f t="shared" si="2"/>
        <v>1797964.6100000003</v>
      </c>
      <c r="K17" s="60">
        <v>0</v>
      </c>
      <c r="L17" s="20">
        <v>32368.105936475167</v>
      </c>
      <c r="M17" s="20"/>
      <c r="N17" s="20"/>
      <c r="P17" s="20">
        <v>138834.04999999999</v>
      </c>
      <c r="Q17" s="20">
        <v>16260.147768444294</v>
      </c>
      <c r="R17" s="61">
        <v>0</v>
      </c>
      <c r="S17" s="20"/>
      <c r="U17" s="20">
        <v>7872.5147328100011</v>
      </c>
      <c r="W17" s="24">
        <v>3191.6</v>
      </c>
      <c r="X17" s="24">
        <v>3024.6</v>
      </c>
      <c r="Y17" s="25">
        <v>42.306420683726778</v>
      </c>
      <c r="Z17" s="24">
        <v>435</v>
      </c>
      <c r="AA17" s="25">
        <v>68.735632183908052</v>
      </c>
      <c r="AB17" s="24">
        <v>8294</v>
      </c>
      <c r="AD17" s="17">
        <v>0</v>
      </c>
      <c r="AF17" s="17">
        <v>1313598.9600000002</v>
      </c>
      <c r="AG17" s="17"/>
      <c r="AH17" s="120">
        <v>8777124</v>
      </c>
      <c r="AJ17" s="9"/>
      <c r="AK17" s="29"/>
      <c r="AR17" s="23"/>
    </row>
    <row r="18" spans="1:44" ht="16.5" thickBot="1" x14ac:dyDescent="0.3">
      <c r="A18" s="27" t="s">
        <v>262</v>
      </c>
      <c r="B18" s="20">
        <v>779545.16800000006</v>
      </c>
      <c r="C18" s="20">
        <v>158167.88800000001</v>
      </c>
      <c r="D18" s="20">
        <f t="shared" si="3"/>
        <v>937713.0560000001</v>
      </c>
      <c r="E18" s="20">
        <v>67108.960000000006</v>
      </c>
      <c r="F18" s="20">
        <v>26325.712</v>
      </c>
      <c r="G18" s="20">
        <f t="shared" si="4"/>
        <v>93434.672000000006</v>
      </c>
      <c r="H18" s="20">
        <v>832331.99</v>
      </c>
      <c r="I18" s="20">
        <v>102491.38</v>
      </c>
      <c r="J18" s="26">
        <f t="shared" si="2"/>
        <v>1965971.0980000002</v>
      </c>
      <c r="K18" s="60">
        <v>0</v>
      </c>
      <c r="L18" s="20">
        <v>36436.63269749692</v>
      </c>
      <c r="M18" s="20"/>
      <c r="N18" s="20"/>
      <c r="P18" s="20">
        <v>156284.88</v>
      </c>
      <c r="Q18" s="20">
        <v>18644.740937998373</v>
      </c>
      <c r="R18" s="61">
        <v>0</v>
      </c>
      <c r="S18" s="20">
        <v>15265.447867322171</v>
      </c>
      <c r="U18" s="20">
        <v>8597.2352596519995</v>
      </c>
      <c r="W18" s="24">
        <v>3134</v>
      </c>
      <c r="X18" s="24">
        <v>3068</v>
      </c>
      <c r="Y18" s="25">
        <v>30.019556714471975</v>
      </c>
      <c r="Z18" s="24">
        <v>273</v>
      </c>
      <c r="AA18" s="25">
        <v>35.164835164835168</v>
      </c>
      <c r="AB18" s="24">
        <v>9613</v>
      </c>
      <c r="AD18" s="17">
        <v>0</v>
      </c>
      <c r="AF18" s="17">
        <v>1288484.52</v>
      </c>
      <c r="AG18" s="17"/>
      <c r="AH18" s="120">
        <v>4059905</v>
      </c>
      <c r="AJ18" s="359" t="s">
        <v>274</v>
      </c>
      <c r="AK18" s="360"/>
      <c r="AR18" s="23"/>
    </row>
    <row r="19" spans="1:44" ht="16.5" thickBot="1" x14ac:dyDescent="0.3">
      <c r="A19" s="27" t="s">
        <v>237</v>
      </c>
      <c r="B19" s="20">
        <v>1465865.0480000004</v>
      </c>
      <c r="C19" s="20">
        <v>195462.53600000002</v>
      </c>
      <c r="D19" s="20">
        <f t="shared" si="3"/>
        <v>1661327.5840000005</v>
      </c>
      <c r="E19" s="20">
        <v>118013.40800000001</v>
      </c>
      <c r="F19" s="20">
        <v>26716.376000000004</v>
      </c>
      <c r="G19" s="20">
        <f t="shared" si="4"/>
        <v>144729.78400000001</v>
      </c>
      <c r="H19" s="20">
        <v>1582322.6</v>
      </c>
      <c r="I19" s="20">
        <v>186360.9</v>
      </c>
      <c r="J19" s="26">
        <f t="shared" si="2"/>
        <v>3574740.8680000007</v>
      </c>
      <c r="K19" s="60">
        <v>0</v>
      </c>
      <c r="L19" s="20">
        <v>65037.65631003493</v>
      </c>
      <c r="M19" s="20"/>
      <c r="N19" s="20"/>
      <c r="P19" s="20">
        <v>278961.07</v>
      </c>
      <c r="Q19" s="20">
        <v>33917.863196986669</v>
      </c>
      <c r="R19" s="61">
        <v>0</v>
      </c>
      <c r="S19" s="20"/>
      <c r="U19" s="20">
        <v>13702.667599894003</v>
      </c>
      <c r="W19" s="24">
        <v>5504.8</v>
      </c>
      <c r="X19" s="24">
        <v>5056.8</v>
      </c>
      <c r="Y19" s="25">
        <v>22.737699731055216</v>
      </c>
      <c r="Z19" s="24">
        <v>537</v>
      </c>
      <c r="AA19" s="25">
        <v>38.175046554934823</v>
      </c>
      <c r="AB19" s="24">
        <v>18275</v>
      </c>
      <c r="AD19" s="17">
        <v>0</v>
      </c>
      <c r="AF19" s="17">
        <v>781387.39999999991</v>
      </c>
      <c r="AG19" s="17"/>
      <c r="AH19" s="120">
        <v>9674793</v>
      </c>
      <c r="AJ19" s="84" t="s">
        <v>330</v>
      </c>
      <c r="AK19" s="30" t="e">
        <f>VLOOKUP($AK$2,'Diretrizes - Resumo'!$A$4:$AB$30,23,)</f>
        <v>#REF!</v>
      </c>
      <c r="AR19" s="23"/>
    </row>
    <row r="20" spans="1:44" ht="16.5" thickBot="1" x14ac:dyDescent="0.3">
      <c r="A20" s="27" t="s">
        <v>261</v>
      </c>
      <c r="B20" s="20">
        <v>441365.21600000001</v>
      </c>
      <c r="C20" s="20">
        <v>55796.368000000009</v>
      </c>
      <c r="D20" s="20">
        <f t="shared" si="3"/>
        <v>497161.58400000003</v>
      </c>
      <c r="E20" s="20">
        <v>58238.896000000001</v>
      </c>
      <c r="F20" s="20">
        <v>10494.816000000001</v>
      </c>
      <c r="G20" s="20">
        <f t="shared" si="4"/>
        <v>68733.712</v>
      </c>
      <c r="H20" s="20">
        <v>415430.03</v>
      </c>
      <c r="I20" s="20">
        <v>44159.64</v>
      </c>
      <c r="J20" s="26">
        <f t="shared" si="2"/>
        <v>1025484.966</v>
      </c>
      <c r="K20" s="60">
        <v>0</v>
      </c>
      <c r="L20" s="20">
        <v>18707.909105583629</v>
      </c>
      <c r="M20" s="20">
        <v>16840</v>
      </c>
      <c r="N20" s="20">
        <v>323635.37833657151</v>
      </c>
      <c r="P20" s="20">
        <v>80242.41</v>
      </c>
      <c r="Q20" s="20">
        <v>9280.7303365715197</v>
      </c>
      <c r="R20" s="61">
        <v>0</v>
      </c>
      <c r="S20" s="20"/>
      <c r="U20" s="20">
        <v>3293.3190637360003</v>
      </c>
      <c r="W20" s="24">
        <v>1641</v>
      </c>
      <c r="X20" s="24">
        <v>1599</v>
      </c>
      <c r="Y20" s="25">
        <v>25.203252032520325</v>
      </c>
      <c r="Z20" s="24">
        <v>275</v>
      </c>
      <c r="AA20" s="25">
        <v>43.63636363636364</v>
      </c>
      <c r="AB20" s="24">
        <v>4798</v>
      </c>
      <c r="AD20" s="17">
        <v>0</v>
      </c>
      <c r="AF20" s="17">
        <v>102180.46</v>
      </c>
      <c r="AG20" s="17"/>
      <c r="AH20" s="120">
        <v>3289290</v>
      </c>
      <c r="AJ20" s="84" t="s">
        <v>331</v>
      </c>
      <c r="AK20" s="30" t="e">
        <f>VLOOKUP($AK$2,'Diretrizes - Resumo'!$A$4:$AB$30,24,)</f>
        <v>#REF!</v>
      </c>
      <c r="AR20" s="23"/>
    </row>
    <row r="21" spans="1:44" ht="16.5" thickBot="1" x14ac:dyDescent="0.3">
      <c r="A21" s="27" t="s">
        <v>260</v>
      </c>
      <c r="B21" s="20">
        <v>3584729.5519999997</v>
      </c>
      <c r="C21" s="20">
        <v>483287.37599999999</v>
      </c>
      <c r="D21" s="20">
        <f t="shared" si="3"/>
        <v>4068016.9279999998</v>
      </c>
      <c r="E21" s="20">
        <v>492594.59999999992</v>
      </c>
      <c r="F21" s="20">
        <v>130089.73600000002</v>
      </c>
      <c r="G21" s="20">
        <f t="shared" si="4"/>
        <v>622684.33599999989</v>
      </c>
      <c r="H21" s="20">
        <v>6433970.46</v>
      </c>
      <c r="I21" s="20">
        <v>444986.87</v>
      </c>
      <c r="J21" s="26">
        <f t="shared" si="2"/>
        <v>11569658.594000001</v>
      </c>
      <c r="K21" s="60">
        <v>0</v>
      </c>
      <c r="L21" s="20">
        <v>211768.97709494023</v>
      </c>
      <c r="M21" s="20"/>
      <c r="N21" s="20"/>
      <c r="P21" s="20">
        <v>908324.56</v>
      </c>
      <c r="Q21" s="20">
        <v>109891.24211973045</v>
      </c>
      <c r="R21" s="61">
        <v>0</v>
      </c>
      <c r="S21" s="20"/>
      <c r="U21" s="20">
        <v>55576.003279602017</v>
      </c>
      <c r="W21" s="24">
        <v>14181</v>
      </c>
      <c r="X21" s="24">
        <v>13769</v>
      </c>
      <c r="Y21" s="25">
        <v>30.626770281066158</v>
      </c>
      <c r="Z21" s="24">
        <v>2791</v>
      </c>
      <c r="AA21" s="25">
        <v>53.31422429236833</v>
      </c>
      <c r="AB21" s="24">
        <v>74309</v>
      </c>
      <c r="AD21" s="17">
        <v>0</v>
      </c>
      <c r="AF21" s="17">
        <v>13878149.049999999</v>
      </c>
      <c r="AG21" s="17"/>
      <c r="AH21" s="120">
        <v>11597484</v>
      </c>
      <c r="AJ21" s="83" t="s">
        <v>270</v>
      </c>
      <c r="AK21" s="34" t="e">
        <f>VLOOKUP($AK$2,'Diretrizes - Resumo'!$A$4:$AB$30,25,)</f>
        <v>#REF!</v>
      </c>
      <c r="AR21" s="23"/>
    </row>
    <row r="22" spans="1:44" ht="16.5" thickBot="1" x14ac:dyDescent="0.3">
      <c r="A22" s="27" t="s">
        <v>259</v>
      </c>
      <c r="B22" s="20">
        <v>4637544.568</v>
      </c>
      <c r="C22" s="20">
        <v>1377724.6320000002</v>
      </c>
      <c r="D22" s="20">
        <f t="shared" si="3"/>
        <v>6015269.2000000002</v>
      </c>
      <c r="E22" s="20">
        <v>613813.02400000009</v>
      </c>
      <c r="F22" s="20">
        <v>307902.50400000002</v>
      </c>
      <c r="G22" s="20">
        <f t="shared" si="4"/>
        <v>921715.52800000017</v>
      </c>
      <c r="H22" s="20">
        <v>5158328.38</v>
      </c>
      <c r="I22" s="20">
        <v>665242.22</v>
      </c>
      <c r="J22" s="26">
        <f t="shared" si="2"/>
        <v>12760555.328</v>
      </c>
      <c r="K22" s="60">
        <v>0</v>
      </c>
      <c r="L22" s="20">
        <v>225894.11830159381</v>
      </c>
      <c r="M22" s="20"/>
      <c r="N22" s="20"/>
      <c r="P22" s="20">
        <v>968910.45</v>
      </c>
      <c r="Q22" s="20">
        <v>127374.78823620477</v>
      </c>
      <c r="R22" s="61">
        <v>0</v>
      </c>
      <c r="S22" s="20">
        <v>157897.52974945167</v>
      </c>
      <c r="U22" s="20">
        <v>38847.512405962007</v>
      </c>
      <c r="W22" s="24">
        <v>21599.333333333332</v>
      </c>
      <c r="X22" s="24">
        <v>18095.333333333332</v>
      </c>
      <c r="Y22" s="25">
        <v>27.810116788858991</v>
      </c>
      <c r="Z22" s="24">
        <v>2932</v>
      </c>
      <c r="AA22" s="25">
        <v>44.611186903137792</v>
      </c>
      <c r="AB22" s="24">
        <v>59576</v>
      </c>
      <c r="AD22" s="17">
        <v>0</v>
      </c>
      <c r="AF22" s="17">
        <v>5939954.9100000001</v>
      </c>
      <c r="AG22" s="17"/>
      <c r="AH22" s="120">
        <v>17463349</v>
      </c>
      <c r="AJ22" s="31" t="s">
        <v>268</v>
      </c>
      <c r="AK22" s="30" t="e">
        <f>VLOOKUP($AK$2,'Diretrizes - Resumo'!$A$4:$AB$30,26,)</f>
        <v>#REF!</v>
      </c>
      <c r="AR22" s="23"/>
    </row>
    <row r="23" spans="1:44" ht="16.5" thickBot="1" x14ac:dyDescent="0.3">
      <c r="A23" s="27" t="s">
        <v>258</v>
      </c>
      <c r="B23" s="20">
        <v>713019</v>
      </c>
      <c r="C23" s="20">
        <v>157137.48799999998</v>
      </c>
      <c r="D23" s="20">
        <f t="shared" si="3"/>
        <v>870156.48800000001</v>
      </c>
      <c r="E23" s="20">
        <v>52927.455999999998</v>
      </c>
      <c r="F23" s="20">
        <v>39673.744000000006</v>
      </c>
      <c r="G23" s="20">
        <f t="shared" si="4"/>
        <v>92601.200000000012</v>
      </c>
      <c r="H23" s="20">
        <v>877269.09</v>
      </c>
      <c r="I23" s="20">
        <v>81554.3</v>
      </c>
      <c r="J23" s="26">
        <f t="shared" si="2"/>
        <v>1921581.0780000002</v>
      </c>
      <c r="K23" s="60">
        <v>0</v>
      </c>
      <c r="L23" s="20">
        <v>35226.751940680093</v>
      </c>
      <c r="M23" s="20"/>
      <c r="N23" s="20"/>
      <c r="P23" s="20">
        <v>151095.43</v>
      </c>
      <c r="Q23" s="20">
        <v>18135.485503182223</v>
      </c>
      <c r="R23" s="61">
        <v>0</v>
      </c>
      <c r="S23" s="20"/>
      <c r="U23" s="20">
        <v>7447.4280785060009</v>
      </c>
      <c r="W23" s="24">
        <v>2816</v>
      </c>
      <c r="X23" s="24">
        <v>2736</v>
      </c>
      <c r="Y23" s="25">
        <v>30.701754385964904</v>
      </c>
      <c r="Z23" s="24">
        <v>316</v>
      </c>
      <c r="AA23" s="25">
        <v>55.696202531645575</v>
      </c>
      <c r="AB23" s="24">
        <v>10132</v>
      </c>
      <c r="AD23" s="17">
        <v>0</v>
      </c>
      <c r="AF23" s="17">
        <v>1125992.78</v>
      </c>
      <c r="AG23" s="17"/>
      <c r="AH23" s="120">
        <v>3560903</v>
      </c>
      <c r="AJ23" s="31" t="s">
        <v>266</v>
      </c>
      <c r="AK23" s="34" t="e">
        <f>VLOOKUP($AK$2,'Diretrizes - Resumo'!$A$4:$AB$30,27,)</f>
        <v>#REF!</v>
      </c>
      <c r="AR23" s="23"/>
    </row>
    <row r="24" spans="1:44" ht="16.5" thickBot="1" x14ac:dyDescent="0.3">
      <c r="A24" s="27" t="s">
        <v>257</v>
      </c>
      <c r="B24" s="20">
        <v>376617.67199999996</v>
      </c>
      <c r="C24" s="20">
        <v>50792.112000000001</v>
      </c>
      <c r="D24" s="20">
        <f t="shared" si="3"/>
        <v>427409.78399999999</v>
      </c>
      <c r="E24" s="20">
        <v>41183.200000000004</v>
      </c>
      <c r="F24" s="20">
        <v>14584.256000000001</v>
      </c>
      <c r="G24" s="20">
        <f t="shared" si="4"/>
        <v>55767.456000000006</v>
      </c>
      <c r="H24" s="20">
        <v>953030.09</v>
      </c>
      <c r="I24" s="20">
        <v>64629.33</v>
      </c>
      <c r="J24" s="26">
        <f t="shared" si="2"/>
        <v>1500836.66</v>
      </c>
      <c r="K24" s="60">
        <v>0</v>
      </c>
      <c r="L24" s="20">
        <v>27471.485518262714</v>
      </c>
      <c r="M24" s="20"/>
      <c r="N24" s="20"/>
      <c r="P24" s="20">
        <v>117831.35</v>
      </c>
      <c r="Q24" s="20">
        <v>13899.250191988889</v>
      </c>
      <c r="R24" s="61">
        <v>0</v>
      </c>
      <c r="S24" s="20"/>
      <c r="U24" s="20">
        <v>5793.1311791340013</v>
      </c>
      <c r="W24" s="24">
        <v>1461.8</v>
      </c>
      <c r="X24" s="24">
        <v>1442.8</v>
      </c>
      <c r="Y24" s="25">
        <v>28.611034100360413</v>
      </c>
      <c r="Z24" s="24">
        <v>241</v>
      </c>
      <c r="AA24" s="25">
        <v>54.771784232365142</v>
      </c>
      <c r="AB24" s="24">
        <v>11007</v>
      </c>
      <c r="AD24" s="17">
        <v>0</v>
      </c>
      <c r="AF24" s="17">
        <v>1207427.8900000001</v>
      </c>
      <c r="AG24" s="17"/>
      <c r="AH24" s="120">
        <v>1815278</v>
      </c>
      <c r="AJ24" s="83" t="s">
        <v>264</v>
      </c>
      <c r="AK24" s="30" t="e">
        <f>VLOOKUP($AK$2,'Diretrizes - Resumo'!$A$4:$AB$30,28,)</f>
        <v>#REF!</v>
      </c>
      <c r="AR24" s="23"/>
    </row>
    <row r="25" spans="1:44" ht="16.5" thickBot="1" x14ac:dyDescent="0.3">
      <c r="A25" s="27" t="s">
        <v>256</v>
      </c>
      <c r="B25" s="20">
        <v>58052.096000000012</v>
      </c>
      <c r="C25" s="20">
        <v>10597.968000000001</v>
      </c>
      <c r="D25" s="20">
        <f t="shared" si="3"/>
        <v>68650.064000000013</v>
      </c>
      <c r="E25" s="20">
        <v>8061.8640000000014</v>
      </c>
      <c r="F25" s="20">
        <v>4434.5600000000004</v>
      </c>
      <c r="G25" s="20">
        <f t="shared" si="4"/>
        <v>12496.424000000003</v>
      </c>
      <c r="H25" s="20">
        <v>109875.1</v>
      </c>
      <c r="I25" s="20">
        <v>7640.86</v>
      </c>
      <c r="J25" s="26">
        <f t="shared" si="2"/>
        <v>198662.44800000003</v>
      </c>
      <c r="K25" s="60">
        <v>0</v>
      </c>
      <c r="L25" s="20">
        <v>3667.0231318440547</v>
      </c>
      <c r="M25" s="20">
        <v>17640</v>
      </c>
      <c r="N25" s="20">
        <v>1027072.3434838187</v>
      </c>
      <c r="P25" s="20">
        <v>15728.68</v>
      </c>
      <c r="Q25" s="20">
        <v>1935.0334838186973</v>
      </c>
      <c r="R25" s="61">
        <v>0</v>
      </c>
      <c r="S25" s="20"/>
      <c r="U25" s="20">
        <v>735.73557525000024</v>
      </c>
      <c r="W25" s="24">
        <v>250</v>
      </c>
      <c r="X25" s="24">
        <v>241</v>
      </c>
      <c r="Y25" s="25">
        <v>35.269709543568467</v>
      </c>
      <c r="Z25" s="24">
        <v>64</v>
      </c>
      <c r="AA25" s="25">
        <v>65.625</v>
      </c>
      <c r="AB25" s="24">
        <v>1269</v>
      </c>
      <c r="AD25" s="17">
        <v>0</v>
      </c>
      <c r="AF25" s="17">
        <v>245329.86999999997</v>
      </c>
      <c r="AG25" s="17"/>
      <c r="AH25" s="120">
        <v>652713</v>
      </c>
      <c r="AR25" s="23"/>
    </row>
    <row r="26" spans="1:44" ht="16.5" thickBot="1" x14ac:dyDescent="0.3">
      <c r="A26" s="27" t="s">
        <v>255</v>
      </c>
      <c r="B26" s="20">
        <v>4734720.0959999999</v>
      </c>
      <c r="C26" s="20">
        <v>674682.09600000002</v>
      </c>
      <c r="D26" s="20">
        <f t="shared" si="3"/>
        <v>5409402.1919999998</v>
      </c>
      <c r="E26" s="20">
        <v>608680.91200000001</v>
      </c>
      <c r="F26" s="20">
        <v>201265.52800000002</v>
      </c>
      <c r="G26" s="20">
        <f t="shared" si="4"/>
        <v>809946.44000000006</v>
      </c>
      <c r="H26" s="20">
        <v>8176300.29</v>
      </c>
      <c r="I26" s="20">
        <v>575825.96</v>
      </c>
      <c r="J26" s="26">
        <f t="shared" si="2"/>
        <v>14971474.881999999</v>
      </c>
      <c r="K26" s="60">
        <v>0</v>
      </c>
      <c r="L26" s="20">
        <v>274444.30773230823</v>
      </c>
      <c r="M26" s="20"/>
      <c r="N26" s="20"/>
      <c r="P26" s="20">
        <v>1177153.08</v>
      </c>
      <c r="Q26" s="20">
        <v>140403.8422811334</v>
      </c>
      <c r="R26" s="61">
        <v>0</v>
      </c>
      <c r="S26" s="20"/>
      <c r="U26" s="20">
        <v>66194.068942066035</v>
      </c>
      <c r="W26" s="24">
        <v>18041</v>
      </c>
      <c r="X26" s="24">
        <v>16889</v>
      </c>
      <c r="Y26" s="25">
        <v>24.400497365148908</v>
      </c>
      <c r="Z26" s="24">
        <v>2927</v>
      </c>
      <c r="AA26" s="25">
        <v>44.994875298940897</v>
      </c>
      <c r="AB26" s="24">
        <v>94432</v>
      </c>
      <c r="AD26" s="17">
        <v>0</v>
      </c>
      <c r="AF26" s="17">
        <v>18607318.912999999</v>
      </c>
      <c r="AG26" s="17"/>
      <c r="AH26" s="120">
        <v>11466630</v>
      </c>
      <c r="AJ26" s="359" t="s">
        <v>334</v>
      </c>
      <c r="AK26" s="360"/>
      <c r="AR26" s="23"/>
    </row>
    <row r="27" spans="1:44" ht="16.5" thickBot="1" x14ac:dyDescent="0.3">
      <c r="A27" s="27" t="s">
        <v>254</v>
      </c>
      <c r="B27" s="20">
        <v>3476552.3760000002</v>
      </c>
      <c r="C27" s="20">
        <v>455971.64800000004</v>
      </c>
      <c r="D27" s="20">
        <f t="shared" si="3"/>
        <v>3932524.0240000002</v>
      </c>
      <c r="E27" s="20">
        <v>386045.13599999994</v>
      </c>
      <c r="F27" s="20">
        <v>92983.784</v>
      </c>
      <c r="G27" s="20">
        <f t="shared" si="4"/>
        <v>479028.91999999993</v>
      </c>
      <c r="H27" s="20">
        <v>5290282.4000000004</v>
      </c>
      <c r="I27" s="20">
        <v>291055.06</v>
      </c>
      <c r="J27" s="26">
        <f t="shared" si="2"/>
        <v>9992890.4039999992</v>
      </c>
      <c r="K27" s="60">
        <v>0</v>
      </c>
      <c r="L27" s="20">
        <v>182436.80267111809</v>
      </c>
      <c r="M27" s="20"/>
      <c r="N27" s="20"/>
      <c r="P27" s="20">
        <v>782512.29</v>
      </c>
      <c r="Q27" s="20">
        <v>93809.697409305722</v>
      </c>
      <c r="R27" s="61">
        <v>0</v>
      </c>
      <c r="S27" s="20"/>
      <c r="U27" s="20">
        <v>41160.619951984001</v>
      </c>
      <c r="W27" s="24">
        <v>11914</v>
      </c>
      <c r="X27" s="24">
        <v>11626</v>
      </c>
      <c r="Y27" s="25">
        <v>21.546533631515558</v>
      </c>
      <c r="Z27" s="24">
        <v>1905</v>
      </c>
      <c r="AA27" s="25">
        <v>46.351706036745412</v>
      </c>
      <c r="AB27" s="24">
        <v>61100</v>
      </c>
      <c r="AD27" s="17">
        <v>0</v>
      </c>
      <c r="AF27" s="17">
        <v>8692538.4800000004</v>
      </c>
      <c r="AG27" s="17"/>
      <c r="AH27" s="120">
        <v>7338473</v>
      </c>
      <c r="AJ27" s="38" t="s">
        <v>335</v>
      </c>
      <c r="AK27" s="30" t="e">
        <f>VLOOKUP($AK$2,A4:AH30,34,)</f>
        <v>#REF!</v>
      </c>
      <c r="AR27" s="23"/>
    </row>
    <row r="28" spans="1:44" s="28" customFormat="1" ht="16.5" thickBot="1" x14ac:dyDescent="0.3">
      <c r="A28" s="27" t="s">
        <v>253</v>
      </c>
      <c r="B28" s="20">
        <v>435012.92799999996</v>
      </c>
      <c r="C28" s="20">
        <v>67014.960000000006</v>
      </c>
      <c r="D28" s="20">
        <f t="shared" si="3"/>
        <v>502027.88799999998</v>
      </c>
      <c r="E28" s="20">
        <v>38758.576000000001</v>
      </c>
      <c r="F28" s="20">
        <v>12640.256000000001</v>
      </c>
      <c r="G28" s="20">
        <f t="shared" si="4"/>
        <v>51398.832000000002</v>
      </c>
      <c r="H28" s="20">
        <v>585134.67000000004</v>
      </c>
      <c r="I28" s="20">
        <v>49948.9</v>
      </c>
      <c r="J28" s="26">
        <f t="shared" si="2"/>
        <v>1188510.29</v>
      </c>
      <c r="K28" s="60">
        <v>0</v>
      </c>
      <c r="L28" s="20">
        <v>21682.328047667306</v>
      </c>
      <c r="M28" s="20">
        <v>14440</v>
      </c>
      <c r="N28" s="20">
        <v>172875.39347385807</v>
      </c>
      <c r="O28" s="18"/>
      <c r="P28" s="20">
        <v>93000.36</v>
      </c>
      <c r="Q28" s="20">
        <v>11151.627473858112</v>
      </c>
      <c r="R28" s="61">
        <v>0</v>
      </c>
      <c r="S28" s="20">
        <v>8095.1841845333583</v>
      </c>
      <c r="T28" s="17"/>
      <c r="U28" s="20">
        <v>4426.7815768279997</v>
      </c>
      <c r="V28" s="17"/>
      <c r="W28" s="24">
        <v>1633</v>
      </c>
      <c r="X28" s="24">
        <v>1599</v>
      </c>
      <c r="Y28" s="25">
        <v>28.642901813633529</v>
      </c>
      <c r="Z28" s="24">
        <v>172</v>
      </c>
      <c r="AA28" s="25">
        <v>40.697674418604649</v>
      </c>
      <c r="AB28" s="24">
        <v>6758</v>
      </c>
      <c r="AC28" s="1"/>
      <c r="AD28" s="17">
        <v>0</v>
      </c>
      <c r="AE28" s="1"/>
      <c r="AF28" s="17">
        <v>778556.55</v>
      </c>
      <c r="AG28" s="17"/>
      <c r="AH28" s="120">
        <v>2338474</v>
      </c>
      <c r="AM28" s="3"/>
      <c r="AR28" s="23"/>
    </row>
    <row r="29" spans="1:44" ht="16.5" thickBot="1" x14ac:dyDescent="0.3">
      <c r="A29" s="27" t="s">
        <v>252</v>
      </c>
      <c r="B29" s="20">
        <v>17642934.056000002</v>
      </c>
      <c r="C29" s="20">
        <v>3147567.4000000004</v>
      </c>
      <c r="D29" s="20">
        <f t="shared" si="3"/>
        <v>20790501.456</v>
      </c>
      <c r="E29" s="20">
        <v>1729808.0079999999</v>
      </c>
      <c r="F29" s="20">
        <v>422009.97600000002</v>
      </c>
      <c r="G29" s="20">
        <f t="shared" si="4"/>
        <v>2151817.9840000002</v>
      </c>
      <c r="H29" s="20">
        <v>30198334.600000001</v>
      </c>
      <c r="I29" s="20">
        <v>1700500.93</v>
      </c>
      <c r="J29" s="26">
        <f t="shared" si="2"/>
        <v>54841154.969999999</v>
      </c>
      <c r="K29" s="60">
        <v>0</v>
      </c>
      <c r="L29" s="20">
        <v>997466.6695633902</v>
      </c>
      <c r="M29" s="20"/>
      <c r="N29" s="20"/>
      <c r="P29" s="20">
        <v>4278357.87</v>
      </c>
      <c r="Q29" s="20">
        <v>535085.82804265618</v>
      </c>
      <c r="R29" s="61">
        <v>0</v>
      </c>
      <c r="S29" s="20"/>
      <c r="U29" s="20">
        <v>194251.69917792606</v>
      </c>
      <c r="W29" s="24">
        <v>67388</v>
      </c>
      <c r="X29" s="24">
        <v>63009</v>
      </c>
      <c r="Y29" s="25">
        <v>25.999460394546816</v>
      </c>
      <c r="Z29" s="24">
        <v>8228</v>
      </c>
      <c r="AA29" s="25">
        <v>44.385026737967912</v>
      </c>
      <c r="AB29" s="24">
        <v>348775</v>
      </c>
      <c r="AD29" s="17">
        <v>0</v>
      </c>
      <c r="AF29" s="17">
        <v>38768808.050000004</v>
      </c>
      <c r="AG29" s="17"/>
      <c r="AH29" s="120">
        <v>46649132</v>
      </c>
      <c r="AR29" s="23"/>
    </row>
    <row r="30" spans="1:44" ht="16.5" thickBot="1" x14ac:dyDescent="0.3">
      <c r="A30" s="27" t="s">
        <v>251</v>
      </c>
      <c r="B30" s="20">
        <v>233109.96000000008</v>
      </c>
      <c r="C30" s="20">
        <v>33368.248</v>
      </c>
      <c r="D30" s="20">
        <f t="shared" si="3"/>
        <v>266478.2080000001</v>
      </c>
      <c r="E30" s="20">
        <v>29739.488000000001</v>
      </c>
      <c r="F30" s="20">
        <v>15518.023999999999</v>
      </c>
      <c r="G30" s="20">
        <f t="shared" si="4"/>
        <v>45257.512000000002</v>
      </c>
      <c r="H30" s="20">
        <v>478376.6</v>
      </c>
      <c r="I30" s="20">
        <v>44505.71</v>
      </c>
      <c r="J30" s="26">
        <f t="shared" si="2"/>
        <v>834618.03000000014</v>
      </c>
      <c r="K30" s="60">
        <v>0</v>
      </c>
      <c r="L30" s="20">
        <v>15389.346166549039</v>
      </c>
      <c r="M30" s="20">
        <v>12440</v>
      </c>
      <c r="N30" s="20">
        <v>435878.42532100301</v>
      </c>
      <c r="P30" s="20">
        <v>66008.350000000006</v>
      </c>
      <c r="Q30" s="20">
        <v>8007.9933210030576</v>
      </c>
      <c r="R30" s="61">
        <v>0</v>
      </c>
      <c r="S30" s="20">
        <v>5193.9456658119079</v>
      </c>
      <c r="U30" s="20">
        <v>3341.2706063620008</v>
      </c>
      <c r="W30" s="24">
        <v>873</v>
      </c>
      <c r="X30" s="24">
        <v>854</v>
      </c>
      <c r="Y30" s="25">
        <v>27.868852459016395</v>
      </c>
      <c r="Z30" s="24">
        <v>213</v>
      </c>
      <c r="AA30" s="25">
        <v>63.380281690140841</v>
      </c>
      <c r="AB30" s="24">
        <v>5525</v>
      </c>
      <c r="AD30" s="17">
        <v>0</v>
      </c>
      <c r="AF30" s="17">
        <v>863875.25</v>
      </c>
      <c r="AG30" s="17"/>
      <c r="AH30" s="120">
        <v>1607363</v>
      </c>
      <c r="AR30" s="23"/>
    </row>
    <row r="31" spans="1:44" x14ac:dyDescent="0.25">
      <c r="P31" s="22"/>
      <c r="Q31" s="22"/>
    </row>
    <row r="32" spans="1:44" x14ac:dyDescent="0.25">
      <c r="A32" s="21" t="s">
        <v>332</v>
      </c>
      <c r="B32" s="24">
        <v>2</v>
      </c>
      <c r="C32" s="24">
        <f>B32+1</f>
        <v>3</v>
      </c>
      <c r="D32" s="24">
        <f t="shared" ref="D32:AH32" si="5">C32+1</f>
        <v>4</v>
      </c>
      <c r="E32" s="24">
        <f t="shared" si="5"/>
        <v>5</v>
      </c>
      <c r="F32" s="24">
        <f t="shared" si="5"/>
        <v>6</v>
      </c>
      <c r="G32" s="24">
        <f t="shared" si="5"/>
        <v>7</v>
      </c>
      <c r="H32" s="24">
        <f t="shared" si="5"/>
        <v>8</v>
      </c>
      <c r="I32" s="24">
        <f t="shared" si="5"/>
        <v>9</v>
      </c>
      <c r="J32" s="24">
        <f t="shared" si="5"/>
        <v>10</v>
      </c>
      <c r="K32" s="24">
        <f t="shared" si="5"/>
        <v>11</v>
      </c>
      <c r="L32" s="24">
        <f t="shared" si="5"/>
        <v>12</v>
      </c>
      <c r="M32" s="24">
        <f t="shared" si="5"/>
        <v>13</v>
      </c>
      <c r="N32" s="24">
        <f t="shared" si="5"/>
        <v>14</v>
      </c>
      <c r="O32" s="24">
        <f t="shared" si="5"/>
        <v>15</v>
      </c>
      <c r="P32" s="24">
        <f t="shared" si="5"/>
        <v>16</v>
      </c>
      <c r="Q32" s="24">
        <f t="shared" si="5"/>
        <v>17</v>
      </c>
      <c r="R32" s="24">
        <f t="shared" si="5"/>
        <v>18</v>
      </c>
      <c r="S32" s="24">
        <f t="shared" si="5"/>
        <v>19</v>
      </c>
      <c r="T32" s="24">
        <f t="shared" si="5"/>
        <v>20</v>
      </c>
      <c r="U32" s="24">
        <f t="shared" si="5"/>
        <v>21</v>
      </c>
      <c r="V32" s="24">
        <f t="shared" si="5"/>
        <v>22</v>
      </c>
      <c r="W32" s="24">
        <f t="shared" si="5"/>
        <v>23</v>
      </c>
      <c r="X32" s="24">
        <f t="shared" si="5"/>
        <v>24</v>
      </c>
      <c r="Y32" s="24">
        <f t="shared" si="5"/>
        <v>25</v>
      </c>
      <c r="Z32" s="24">
        <f t="shared" si="5"/>
        <v>26</v>
      </c>
      <c r="AA32" s="24">
        <f t="shared" si="5"/>
        <v>27</v>
      </c>
      <c r="AB32" s="24">
        <f t="shared" si="5"/>
        <v>28</v>
      </c>
      <c r="AC32" s="24">
        <f t="shared" si="5"/>
        <v>29</v>
      </c>
      <c r="AD32" s="24">
        <f t="shared" si="5"/>
        <v>30</v>
      </c>
      <c r="AE32" s="24">
        <f t="shared" si="5"/>
        <v>31</v>
      </c>
      <c r="AF32" s="24">
        <f t="shared" si="5"/>
        <v>32</v>
      </c>
      <c r="AG32" s="24">
        <f t="shared" si="5"/>
        <v>33</v>
      </c>
      <c r="AH32" s="24">
        <f t="shared" si="5"/>
        <v>34</v>
      </c>
    </row>
    <row r="33" spans="16:17" hidden="1" x14ac:dyDescent="0.25">
      <c r="P33" s="85"/>
      <c r="Q33" s="85"/>
    </row>
    <row r="34" spans="16:17" hidden="1" x14ac:dyDescent="0.25">
      <c r="P34" s="85"/>
      <c r="Q34" s="85"/>
    </row>
    <row r="35" spans="16:17" hidden="1" x14ac:dyDescent="0.25">
      <c r="P35" s="85"/>
      <c r="Q35" s="85"/>
    </row>
    <row r="36" spans="16:17" hidden="1" x14ac:dyDescent="0.25">
      <c r="P36" s="85"/>
      <c r="Q36" s="85"/>
    </row>
  </sheetData>
  <mergeCells count="20">
    <mergeCell ref="AM2:AN2"/>
    <mergeCell ref="AJ18:AK18"/>
    <mergeCell ref="A1:A3"/>
    <mergeCell ref="B1:J1"/>
    <mergeCell ref="E2:G2"/>
    <mergeCell ref="B2:D2"/>
    <mergeCell ref="I2:I3"/>
    <mergeCell ref="AH2:AH3"/>
    <mergeCell ref="AJ26:AK26"/>
    <mergeCell ref="H2:H3"/>
    <mergeCell ref="J2:J3"/>
    <mergeCell ref="L1:N2"/>
    <mergeCell ref="P1:Q2"/>
    <mergeCell ref="W1:AB1"/>
    <mergeCell ref="W2:Y2"/>
    <mergeCell ref="Z2:AA2"/>
    <mergeCell ref="S1:S2"/>
    <mergeCell ref="U1:U2"/>
    <mergeCell ref="AD2:AD3"/>
    <mergeCell ref="AF2:AF3"/>
  </mergeCells>
  <pageMargins left="0.511811024" right="0.511811024" top="0.78740157499999996" bottom="0.78740157499999996" header="0.31496062000000002" footer="0.31496062000000002"/>
  <pageSetup paperSize="9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A54CED-400F-409A-A2CE-40883BF267FB}">
  <sheetPr>
    <tabColor rgb="FF00B050"/>
  </sheetPr>
  <dimension ref="A1:XFC26"/>
  <sheetViews>
    <sheetView showGridLines="0" zoomScaleNormal="100" workbookViewId="0">
      <pane ySplit="2" topLeftCell="A16" activePane="bottomLeft" state="frozen"/>
      <selection activeCell="A2" sqref="A2"/>
      <selection pane="bottomLeft" activeCell="A19" sqref="A19:B19"/>
    </sheetView>
  </sheetViews>
  <sheetFormatPr defaultColWidth="0" defaultRowHeight="23.25" zeroHeight="1" x14ac:dyDescent="0.35"/>
  <cols>
    <col min="1" max="1" width="16.5703125" style="66" customWidth="1"/>
    <col min="2" max="2" width="70.42578125" style="67" customWidth="1"/>
    <col min="3" max="3" width="6.42578125" style="67" bestFit="1" customWidth="1"/>
    <col min="4" max="4" width="12.7109375" style="72" bestFit="1" customWidth="1"/>
    <col min="5" max="5" width="5.5703125" style="67" bestFit="1" customWidth="1"/>
    <col min="6" max="6" width="6.7109375" style="72" bestFit="1" customWidth="1"/>
    <col min="7" max="7" width="6.42578125" style="67" bestFit="1" customWidth="1"/>
    <col min="8" max="8" width="14.5703125" style="72" bestFit="1" customWidth="1"/>
    <col min="9" max="9" width="7.5703125" style="67" bestFit="1" customWidth="1"/>
    <col min="10" max="10" width="15" style="72" bestFit="1" customWidth="1"/>
    <col min="11" max="11" width="12.28515625" style="67" bestFit="1" customWidth="1"/>
    <col min="12" max="12" width="8.5703125" style="63" customWidth="1"/>
    <col min="13" max="13" width="79.7109375" style="79" customWidth="1"/>
    <col min="14" max="249" width="0" style="63" hidden="1" customWidth="1"/>
    <col min="250" max="16383" width="22.5703125" style="63" hidden="1"/>
    <col min="16384" max="16384" width="20.28515625" style="63" customWidth="1"/>
  </cols>
  <sheetData>
    <row r="1" spans="1:13" x14ac:dyDescent="0.35">
      <c r="A1" s="379" t="s">
        <v>326</v>
      </c>
      <c r="B1" s="379" t="s">
        <v>325</v>
      </c>
      <c r="C1" s="378" t="s">
        <v>324</v>
      </c>
      <c r="D1" s="378"/>
      <c r="E1" s="378" t="s">
        <v>327</v>
      </c>
      <c r="F1" s="378"/>
      <c r="G1" s="378" t="s">
        <v>323</v>
      </c>
      <c r="H1" s="378"/>
      <c r="I1" s="378" t="s">
        <v>322</v>
      </c>
      <c r="J1" s="378"/>
      <c r="K1" s="381" t="s">
        <v>321</v>
      </c>
      <c r="M1" s="80" t="s">
        <v>328</v>
      </c>
    </row>
    <row r="2" spans="1:13" x14ac:dyDescent="0.35">
      <c r="A2" s="380"/>
      <c r="B2" s="380"/>
      <c r="C2" s="74" t="s">
        <v>320</v>
      </c>
      <c r="D2" s="75" t="s">
        <v>36</v>
      </c>
      <c r="E2" s="74" t="s">
        <v>320</v>
      </c>
      <c r="F2" s="75" t="s">
        <v>36</v>
      </c>
      <c r="G2" s="74" t="s">
        <v>320</v>
      </c>
      <c r="H2" s="75" t="s">
        <v>36</v>
      </c>
      <c r="I2" s="74" t="s">
        <v>320</v>
      </c>
      <c r="J2" s="75" t="s">
        <v>36</v>
      </c>
      <c r="K2" s="382"/>
      <c r="M2" s="80" t="s">
        <v>329</v>
      </c>
    </row>
    <row r="3" spans="1:13" ht="30.75" customHeight="1" x14ac:dyDescent="0.35">
      <c r="A3" s="383" t="s">
        <v>125</v>
      </c>
      <c r="B3" s="65" t="s">
        <v>14</v>
      </c>
      <c r="C3" s="193">
        <f>COUNTIFS('Quadro Geral'!$D:$D,'Matriz de Obj. Estrat.'!$B3,'Quadro Geral'!$B:$B,"P")</f>
        <v>0</v>
      </c>
      <c r="D3" s="194">
        <f>SUMIFS('Quadro Geral'!$H:$H,'Quadro Geral'!$D:$D,'Matriz de Obj. Estrat.'!$B3,'Quadro Geral'!$B:$B,"P")</f>
        <v>0</v>
      </c>
      <c r="E3" s="193">
        <f>COUNTIFS('Quadro Geral'!$D:$D,'Matriz de Obj. Estrat.'!$B3,'Quadro Geral'!$B:$B,"PE")</f>
        <v>0</v>
      </c>
      <c r="F3" s="194">
        <f>SUMIFS('Quadro Geral'!$H:$H,'Quadro Geral'!$D:$D,'Matriz de Obj. Estrat.'!$B3,'Quadro Geral'!$B:$B,"PE")</f>
        <v>0</v>
      </c>
      <c r="G3" s="193">
        <f>COUNTIFS('Quadro Geral'!$D:$D,'Matriz de Obj. Estrat.'!$B3,'Quadro Geral'!$B:$B,"A")</f>
        <v>0</v>
      </c>
      <c r="H3" s="194">
        <f>SUMIFS('Quadro Geral'!$H:$H,'Quadro Geral'!$D:$D,'Matriz de Obj. Estrat.'!$B3,'Quadro Geral'!$B:$B,"A")</f>
        <v>0</v>
      </c>
      <c r="I3" s="193">
        <f>C3+E3+G3</f>
        <v>0</v>
      </c>
      <c r="J3" s="194">
        <f>D3+F3+H3</f>
        <v>0</v>
      </c>
      <c r="K3" s="195">
        <f t="shared" ref="K3:K18" si="0">IFERROR(J3/$J$19*100,0)</f>
        <v>0</v>
      </c>
      <c r="M3" s="192" t="s">
        <v>21</v>
      </c>
    </row>
    <row r="4" spans="1:13" ht="30.75" customHeight="1" x14ac:dyDescent="0.35">
      <c r="A4" s="383"/>
      <c r="B4" s="65" t="s">
        <v>114</v>
      </c>
      <c r="C4" s="193">
        <f>COUNTIFS('Quadro Geral'!$D:$D,'Matriz de Obj. Estrat.'!$B4,'Quadro Geral'!$B:$B,"P")</f>
        <v>0</v>
      </c>
      <c r="D4" s="194">
        <f>SUMIFS('Quadro Geral'!$H:$H,'Quadro Geral'!$D:$D,'Matriz de Obj. Estrat.'!$B4,'Quadro Geral'!$B:$B,"P")</f>
        <v>0</v>
      </c>
      <c r="E4" s="193">
        <f>COUNTIFS('Quadro Geral'!$D:$D,'Matriz de Obj. Estrat.'!$B4,'Quadro Geral'!$B:$B,"PE")</f>
        <v>0</v>
      </c>
      <c r="F4" s="194">
        <f>SUMIFS('Quadro Geral'!$H:$H,'Quadro Geral'!$D:$D,'Matriz de Obj. Estrat.'!$B4,'Quadro Geral'!$B:$B,"PE")</f>
        <v>0</v>
      </c>
      <c r="G4" s="193">
        <f>COUNTIFS('Quadro Geral'!$D:$D,'Matriz de Obj. Estrat.'!$B4,'Quadro Geral'!$B:$B,"A")</f>
        <v>0</v>
      </c>
      <c r="H4" s="194">
        <f>SUMIFS('Quadro Geral'!$H:$H,'Quadro Geral'!$D:$D,'Matriz de Obj. Estrat.'!$B4,'Quadro Geral'!$B:$B,"A")</f>
        <v>0</v>
      </c>
      <c r="I4" s="193">
        <f t="shared" ref="I4:I18" si="1">C4+E4+G4</f>
        <v>0</v>
      </c>
      <c r="J4" s="194">
        <f t="shared" ref="J4:J18" si="2">D4+F4+H4</f>
        <v>0</v>
      </c>
      <c r="K4" s="195">
        <f t="shared" si="0"/>
        <v>0</v>
      </c>
      <c r="M4" s="192" t="s">
        <v>14</v>
      </c>
    </row>
    <row r="5" spans="1:13" ht="30.75" customHeight="1" x14ac:dyDescent="0.35">
      <c r="A5" s="384" t="s">
        <v>319</v>
      </c>
      <c r="B5" s="65" t="s">
        <v>15</v>
      </c>
      <c r="C5" s="193">
        <f>COUNTIFS('Quadro Geral'!$D:$D,'Matriz de Obj. Estrat.'!$B5,'Quadro Geral'!$B:$B,"P")</f>
        <v>0</v>
      </c>
      <c r="D5" s="194">
        <f>SUMIFS('Quadro Geral'!$H:$H,'Quadro Geral'!$D:$D,'Matriz de Obj. Estrat.'!$B5,'Quadro Geral'!$B:$B,"P")</f>
        <v>0</v>
      </c>
      <c r="E5" s="193">
        <f>COUNTIFS('Quadro Geral'!$D:$D,'Matriz de Obj. Estrat.'!$B5,'Quadro Geral'!$B:$B,"PE")</f>
        <v>0</v>
      </c>
      <c r="F5" s="194">
        <f>SUMIFS('Quadro Geral'!$H:$H,'Quadro Geral'!$D:$D,'Matriz de Obj. Estrat.'!$B5,'Quadro Geral'!$B:$B,"PE")</f>
        <v>0</v>
      </c>
      <c r="G5" s="193">
        <f>COUNTIFS('Quadro Geral'!$D:$D,'Matriz de Obj. Estrat.'!$B5,'Quadro Geral'!$B:$B,"A")</f>
        <v>2</v>
      </c>
      <c r="H5" s="194">
        <f>SUMIFS('Quadro Geral'!$H:$H,'Quadro Geral'!$D:$D,'Matriz de Obj. Estrat.'!$B5,'Quadro Geral'!$B:$B,"A")</f>
        <v>367276.57</v>
      </c>
      <c r="I5" s="193">
        <f t="shared" si="1"/>
        <v>2</v>
      </c>
      <c r="J5" s="194">
        <f t="shared" si="2"/>
        <v>367276.57</v>
      </c>
      <c r="K5" s="195">
        <f t="shared" si="0"/>
        <v>22.870247185668624</v>
      </c>
      <c r="M5" s="192" t="s">
        <v>95</v>
      </c>
    </row>
    <row r="6" spans="1:13" ht="30.75" customHeight="1" x14ac:dyDescent="0.35">
      <c r="A6" s="384"/>
      <c r="B6" s="65" t="s">
        <v>83</v>
      </c>
      <c r="C6" s="193">
        <f>COUNTIFS('Quadro Geral'!$D:$D,'Matriz de Obj. Estrat.'!$B6,'Quadro Geral'!$B:$B,"P")</f>
        <v>1</v>
      </c>
      <c r="D6" s="194">
        <f>SUMIFS('Quadro Geral'!$H:$H,'Quadro Geral'!$D:$D,'Matriz de Obj. Estrat.'!$B6,'Quadro Geral'!$B:$B,"P")</f>
        <v>25996.49</v>
      </c>
      <c r="E6" s="193">
        <f>COUNTIFS('Quadro Geral'!$D:$D,'Matriz de Obj. Estrat.'!$B6,'Quadro Geral'!$B:$B,"PE")</f>
        <v>0</v>
      </c>
      <c r="F6" s="194">
        <f>SUMIFS('Quadro Geral'!$H:$H,'Quadro Geral'!$D:$D,'Matriz de Obj. Estrat.'!$B6,'Quadro Geral'!$B:$B,"PE")</f>
        <v>0</v>
      </c>
      <c r="G6" s="193">
        <f>COUNTIFS('Quadro Geral'!$D:$D,'Matriz de Obj. Estrat.'!$B6,'Quadro Geral'!$B:$B,"A")</f>
        <v>2</v>
      </c>
      <c r="H6" s="194">
        <f>SUMIFS('Quadro Geral'!$H:$H,'Quadro Geral'!$D:$D,'Matriz de Obj. Estrat.'!$B6,'Quadro Geral'!$B:$B,"A")</f>
        <v>237493.12</v>
      </c>
      <c r="I6" s="193">
        <f t="shared" si="1"/>
        <v>3</v>
      </c>
      <c r="J6" s="194">
        <f t="shared" si="2"/>
        <v>263489.61</v>
      </c>
      <c r="K6" s="195">
        <f t="shared" si="0"/>
        <v>16.407451505973885</v>
      </c>
    </row>
    <row r="7" spans="1:13" ht="30.75" customHeight="1" x14ac:dyDescent="0.35">
      <c r="A7" s="384"/>
      <c r="B7" s="65" t="s">
        <v>17</v>
      </c>
      <c r="C7" s="193">
        <f>COUNTIFS('Quadro Geral'!$D:$D,'Matriz de Obj. Estrat.'!$B7,'Quadro Geral'!$B:$B,"P")</f>
        <v>2</v>
      </c>
      <c r="D7" s="194">
        <f>SUMIFS('Quadro Geral'!$H:$H,'Quadro Geral'!$D:$D,'Matriz de Obj. Estrat.'!$B7,'Quadro Geral'!$B:$B,"P")</f>
        <v>53443.7</v>
      </c>
      <c r="E7" s="193">
        <f>COUNTIFS('Quadro Geral'!$D:$D,'Matriz de Obj. Estrat.'!$B7,'Quadro Geral'!$B:$B,"PE")</f>
        <v>0</v>
      </c>
      <c r="F7" s="194">
        <f>SUMIFS('Quadro Geral'!$H:$H,'Quadro Geral'!$D:$D,'Matriz de Obj. Estrat.'!$B7,'Quadro Geral'!$B:$B,"PE")</f>
        <v>0</v>
      </c>
      <c r="G7" s="193">
        <f>COUNTIFS('Quadro Geral'!$D:$D,'Matriz de Obj. Estrat.'!$B7,'Quadro Geral'!$B:$B,"A")</f>
        <v>0</v>
      </c>
      <c r="H7" s="194">
        <f>SUMIFS('Quadro Geral'!$H:$H,'Quadro Geral'!$D:$D,'Matriz de Obj. Estrat.'!$B7,'Quadro Geral'!$B:$B,"A")</f>
        <v>0</v>
      </c>
      <c r="I7" s="193">
        <f t="shared" si="1"/>
        <v>2</v>
      </c>
      <c r="J7" s="194">
        <f t="shared" si="2"/>
        <v>53443.7</v>
      </c>
      <c r="K7" s="195">
        <f t="shared" si="0"/>
        <v>3.3279297656170068</v>
      </c>
    </row>
    <row r="8" spans="1:13" ht="30.75" customHeight="1" x14ac:dyDescent="0.35">
      <c r="A8" s="384"/>
      <c r="B8" s="65" t="s">
        <v>95</v>
      </c>
      <c r="C8" s="193">
        <f>COUNTIFS('Quadro Geral'!$D:$D,'Matriz de Obj. Estrat.'!$B8,'Quadro Geral'!$B:$B,"P")</f>
        <v>0</v>
      </c>
      <c r="D8" s="194">
        <f>SUMIFS('Quadro Geral'!$H:$H,'Quadro Geral'!$D:$D,'Matriz de Obj. Estrat.'!$B8,'Quadro Geral'!$B:$B,"P")</f>
        <v>0</v>
      </c>
      <c r="E8" s="193">
        <f>COUNTIFS('Quadro Geral'!$D:$D,'Matriz de Obj. Estrat.'!$B8,'Quadro Geral'!$B:$B,"PE")</f>
        <v>0</v>
      </c>
      <c r="F8" s="194">
        <f>SUMIFS('Quadro Geral'!$H:$H,'Quadro Geral'!$D:$D,'Matriz de Obj. Estrat.'!$B8,'Quadro Geral'!$B:$B,"PE")</f>
        <v>0</v>
      </c>
      <c r="G8" s="193">
        <f>COUNTIFS('Quadro Geral'!$D:$D,'Matriz de Obj. Estrat.'!$B8,'Quadro Geral'!$B:$B,"A")</f>
        <v>0</v>
      </c>
      <c r="H8" s="194">
        <f>SUMIFS('Quadro Geral'!$H:$H,'Quadro Geral'!$D:$D,'Matriz de Obj. Estrat.'!$B8,'Quadro Geral'!$B:$B,"A")</f>
        <v>0</v>
      </c>
      <c r="I8" s="193">
        <f t="shared" si="1"/>
        <v>0</v>
      </c>
      <c r="J8" s="194">
        <f t="shared" si="2"/>
        <v>0</v>
      </c>
      <c r="K8" s="195">
        <f t="shared" si="0"/>
        <v>0</v>
      </c>
    </row>
    <row r="9" spans="1:13" ht="30.75" customHeight="1" x14ac:dyDescent="0.35">
      <c r="A9" s="384"/>
      <c r="B9" s="65" t="s">
        <v>115</v>
      </c>
      <c r="C9" s="193">
        <f>COUNTIFS('Quadro Geral'!$D:$D,'Matriz de Obj. Estrat.'!$B9,'Quadro Geral'!$B:$B,"P")</f>
        <v>0</v>
      </c>
      <c r="D9" s="194">
        <f>SUMIFS('Quadro Geral'!$H:$H,'Quadro Geral'!$D:$D,'Matriz de Obj. Estrat.'!$B9,'Quadro Geral'!$B:$B,"P")</f>
        <v>0</v>
      </c>
      <c r="E9" s="193">
        <f>COUNTIFS('Quadro Geral'!$D:$D,'Matriz de Obj. Estrat.'!$B9,'Quadro Geral'!$B:$B,"PE")</f>
        <v>0</v>
      </c>
      <c r="F9" s="194">
        <f>SUMIFS('Quadro Geral'!$H:$H,'Quadro Geral'!$D:$D,'Matriz de Obj. Estrat.'!$B9,'Quadro Geral'!$B:$B,"PE")</f>
        <v>0</v>
      </c>
      <c r="G9" s="193">
        <f>COUNTIFS('Quadro Geral'!$D:$D,'Matriz de Obj. Estrat.'!$B9,'Quadro Geral'!$B:$B,"A")</f>
        <v>0</v>
      </c>
      <c r="H9" s="194">
        <f>SUMIFS('Quadro Geral'!$H:$H,'Quadro Geral'!$D:$D,'Matriz de Obj. Estrat.'!$B9,'Quadro Geral'!$B:$B,"A")</f>
        <v>0</v>
      </c>
      <c r="I9" s="193">
        <f t="shared" si="1"/>
        <v>0</v>
      </c>
      <c r="J9" s="194">
        <f t="shared" si="2"/>
        <v>0</v>
      </c>
      <c r="K9" s="195">
        <f t="shared" si="0"/>
        <v>0</v>
      </c>
    </row>
    <row r="10" spans="1:13" ht="30.75" customHeight="1" x14ac:dyDescent="0.35">
      <c r="A10" s="384"/>
      <c r="B10" s="65" t="s">
        <v>89</v>
      </c>
      <c r="C10" s="193">
        <f>COUNTIFS('Quadro Geral'!$D:$D,'Matriz de Obj. Estrat.'!$B10,'Quadro Geral'!$B:$B,"P")</f>
        <v>1</v>
      </c>
      <c r="D10" s="194">
        <f>SUMIFS('Quadro Geral'!$H:$H,'Quadro Geral'!$D:$D,'Matriz de Obj. Estrat.'!$B10,'Quadro Geral'!$B:$B,"P")</f>
        <v>21102.880000000001</v>
      </c>
      <c r="E10" s="193">
        <f>COUNTIFS('Quadro Geral'!$D:$D,'Matriz de Obj. Estrat.'!$B10,'Quadro Geral'!$B:$B,"PE")</f>
        <v>0</v>
      </c>
      <c r="F10" s="194">
        <f>SUMIFS('Quadro Geral'!$H:$H,'Quadro Geral'!$D:$D,'Matriz de Obj. Estrat.'!$B10,'Quadro Geral'!$B:$B,"PE")</f>
        <v>0</v>
      </c>
      <c r="G10" s="193">
        <f>COUNTIFS('Quadro Geral'!$D:$D,'Matriz de Obj. Estrat.'!$B10,'Quadro Geral'!$B:$B,"A")</f>
        <v>0</v>
      </c>
      <c r="H10" s="194">
        <f>SUMIFS('Quadro Geral'!$H:$H,'Quadro Geral'!$D:$D,'Matriz de Obj. Estrat.'!$B10,'Quadro Geral'!$B:$B,"A")</f>
        <v>0</v>
      </c>
      <c r="I10" s="193">
        <f t="shared" si="1"/>
        <v>1</v>
      </c>
      <c r="J10" s="194">
        <f t="shared" si="2"/>
        <v>21102.880000000001</v>
      </c>
      <c r="K10" s="195">
        <f t="shared" si="0"/>
        <v>1.3140726127166313</v>
      </c>
    </row>
    <row r="11" spans="1:13" ht="30.75" customHeight="1" x14ac:dyDescent="0.35">
      <c r="A11" s="384"/>
      <c r="B11" s="65" t="s">
        <v>20</v>
      </c>
      <c r="C11" s="193">
        <f>COUNTIFS('Quadro Geral'!$D:$D,'Matriz de Obj. Estrat.'!$B11,'Quadro Geral'!$B:$B,"P")</f>
        <v>1</v>
      </c>
      <c r="D11" s="194">
        <f>SUMIFS('Quadro Geral'!$H:$H,'Quadro Geral'!$D:$D,'Matriz de Obj. Estrat.'!$B11,'Quadro Geral'!$B:$B,"P")</f>
        <v>81825.94</v>
      </c>
      <c r="E11" s="193">
        <f>COUNTIFS('Quadro Geral'!$D:$D,'Matriz de Obj. Estrat.'!$B11,'Quadro Geral'!$B:$B,"PE")</f>
        <v>0</v>
      </c>
      <c r="F11" s="194">
        <f>SUMIFS('Quadro Geral'!$H:$H,'Quadro Geral'!$D:$D,'Matriz de Obj. Estrat.'!$B11,'Quadro Geral'!$B:$B,"PE")</f>
        <v>0</v>
      </c>
      <c r="G11" s="193">
        <f>COUNTIFS('Quadro Geral'!$D:$D,'Matriz de Obj. Estrat.'!$B11,'Quadro Geral'!$B:$B,"A")</f>
        <v>0</v>
      </c>
      <c r="H11" s="194">
        <f>SUMIFS('Quadro Geral'!$H:$H,'Quadro Geral'!$D:$D,'Matriz de Obj. Estrat.'!$B11,'Quadro Geral'!$B:$B,"A")</f>
        <v>0</v>
      </c>
      <c r="I11" s="193">
        <f t="shared" si="1"/>
        <v>1</v>
      </c>
      <c r="J11" s="194">
        <f t="shared" si="2"/>
        <v>81825.94</v>
      </c>
      <c r="K11" s="195">
        <f t="shared" si="0"/>
        <v>5.0952868406489689</v>
      </c>
    </row>
    <row r="12" spans="1:13" ht="30.75" customHeight="1" x14ac:dyDescent="0.35">
      <c r="A12" s="384"/>
      <c r="B12" s="65" t="s">
        <v>21</v>
      </c>
      <c r="C12" s="193">
        <f>COUNTIFS('Quadro Geral'!$D:$D,'Matriz de Obj. Estrat.'!$B12,'Quadro Geral'!$B:$B,"P")</f>
        <v>0</v>
      </c>
      <c r="D12" s="194">
        <f>SUMIFS('Quadro Geral'!$H:$H,'Quadro Geral'!$D:$D,'Matriz de Obj. Estrat.'!$B12,'Quadro Geral'!$B:$B,"P")</f>
        <v>0</v>
      </c>
      <c r="E12" s="193">
        <f>COUNTIFS('Quadro Geral'!$D:$D,'Matriz de Obj. Estrat.'!$B12,'Quadro Geral'!$B:$B,"PE")</f>
        <v>0</v>
      </c>
      <c r="F12" s="194">
        <f>SUMIFS('Quadro Geral'!$H:$H,'Quadro Geral'!$D:$D,'Matriz de Obj. Estrat.'!$B12,'Quadro Geral'!$B:$B,"PE")</f>
        <v>0</v>
      </c>
      <c r="G12" s="193">
        <f>COUNTIFS('Quadro Geral'!$D:$D,'Matriz de Obj. Estrat.'!$B12,'Quadro Geral'!$B:$B,"A")</f>
        <v>0</v>
      </c>
      <c r="H12" s="194">
        <f>SUMIFS('Quadro Geral'!$H:$H,'Quadro Geral'!$D:$D,'Matriz de Obj. Estrat.'!$B12,'Quadro Geral'!$B:$B,"A")</f>
        <v>0</v>
      </c>
      <c r="I12" s="193">
        <f t="shared" si="1"/>
        <v>0</v>
      </c>
      <c r="J12" s="194">
        <f t="shared" si="2"/>
        <v>0</v>
      </c>
      <c r="K12" s="195">
        <f t="shared" si="0"/>
        <v>0</v>
      </c>
    </row>
    <row r="13" spans="1:13" ht="30.75" customHeight="1" x14ac:dyDescent="0.35">
      <c r="A13" s="384"/>
      <c r="B13" s="65" t="s">
        <v>22</v>
      </c>
      <c r="C13" s="193">
        <f>COUNTIFS('Quadro Geral'!$D:$D,'Matriz de Obj. Estrat.'!$B13,'Quadro Geral'!$B:$B,"P")</f>
        <v>1</v>
      </c>
      <c r="D13" s="194">
        <f>SUMIFS('Quadro Geral'!$H:$H,'Quadro Geral'!$D:$D,'Matriz de Obj. Estrat.'!$B13,'Quadro Geral'!$B:$B,"P")</f>
        <v>83786.55</v>
      </c>
      <c r="E13" s="193">
        <f>COUNTIFS('Quadro Geral'!$D:$D,'Matriz de Obj. Estrat.'!$B13,'Quadro Geral'!$B:$B,"PE")</f>
        <v>0</v>
      </c>
      <c r="F13" s="194">
        <f>SUMIFS('Quadro Geral'!$H:$H,'Quadro Geral'!$D:$D,'Matriz de Obj. Estrat.'!$B13,'Quadro Geral'!$B:$B,"PE")</f>
        <v>0</v>
      </c>
      <c r="G13" s="193">
        <f>COUNTIFS('Quadro Geral'!$D:$D,'Matriz de Obj. Estrat.'!$B13,'Quadro Geral'!$B:$B,"A")</f>
        <v>0</v>
      </c>
      <c r="H13" s="194">
        <f>SUMIFS('Quadro Geral'!$H:$H,'Quadro Geral'!$D:$D,'Matriz de Obj. Estrat.'!$B13,'Quadro Geral'!$B:$B,"A")</f>
        <v>0</v>
      </c>
      <c r="I13" s="193">
        <f t="shared" si="1"/>
        <v>1</v>
      </c>
      <c r="J13" s="194">
        <f t="shared" si="2"/>
        <v>83786.55</v>
      </c>
      <c r="K13" s="195">
        <f t="shared" si="0"/>
        <v>5.2173736792803949</v>
      </c>
    </row>
    <row r="14" spans="1:13" ht="30.75" customHeight="1" x14ac:dyDescent="0.35">
      <c r="A14" s="384"/>
      <c r="B14" s="65" t="s">
        <v>23</v>
      </c>
      <c r="C14" s="193">
        <f>COUNTIFS('Quadro Geral'!$D:$D,'Matriz de Obj. Estrat.'!$B14,'Quadro Geral'!$B:$B,"P")</f>
        <v>0</v>
      </c>
      <c r="D14" s="194">
        <f>SUMIFS('Quadro Geral'!$H:$H,'Quadro Geral'!$D:$D,'Matriz de Obj. Estrat.'!$B14,'Quadro Geral'!$B:$B,"P")</f>
        <v>0</v>
      </c>
      <c r="E14" s="193">
        <f>COUNTIFS('Quadro Geral'!$D:$D,'Matriz de Obj. Estrat.'!$B14,'Quadro Geral'!$B:$B,"PE")</f>
        <v>0</v>
      </c>
      <c r="F14" s="194">
        <f>SUMIFS('Quadro Geral'!$H:$H,'Quadro Geral'!$D:$D,'Matriz de Obj. Estrat.'!$B14,'Quadro Geral'!$B:$B,"PE")</f>
        <v>0</v>
      </c>
      <c r="G14" s="193">
        <f>COUNTIFS('Quadro Geral'!$D:$D,'Matriz de Obj. Estrat.'!$B14,'Quadro Geral'!$B:$B,"A")</f>
        <v>3</v>
      </c>
      <c r="H14" s="194">
        <f>SUMIFS('Quadro Geral'!$H:$H,'Quadro Geral'!$D:$D,'Matriz de Obj. Estrat.'!$B14,'Quadro Geral'!$B:$B,"A")</f>
        <v>74196.87</v>
      </c>
      <c r="I14" s="193">
        <f t="shared" si="1"/>
        <v>3</v>
      </c>
      <c r="J14" s="194">
        <f t="shared" si="2"/>
        <v>74196.87</v>
      </c>
      <c r="K14" s="195">
        <f t="shared" si="0"/>
        <v>4.6202259983611826</v>
      </c>
    </row>
    <row r="15" spans="1:13" ht="30.75" customHeight="1" x14ac:dyDescent="0.35">
      <c r="A15" s="384"/>
      <c r="B15" s="65" t="s">
        <v>24</v>
      </c>
      <c r="C15" s="193">
        <f>COUNTIFS('Quadro Geral'!$D:$D,'Matriz de Obj. Estrat.'!$B15,'Quadro Geral'!$B:$B,"P")</f>
        <v>0</v>
      </c>
      <c r="D15" s="194">
        <f>SUMIFS('Quadro Geral'!$H:$H,'Quadro Geral'!$D:$D,'Matriz de Obj. Estrat.'!$B15,'Quadro Geral'!$B:$B,"P")</f>
        <v>0</v>
      </c>
      <c r="E15" s="193">
        <f>COUNTIFS('Quadro Geral'!$D:$D,'Matriz de Obj. Estrat.'!$B15,'Quadro Geral'!$B:$B,"PE")</f>
        <v>0</v>
      </c>
      <c r="F15" s="194">
        <f>SUMIFS('Quadro Geral'!$H:$H,'Quadro Geral'!$D:$D,'Matriz de Obj. Estrat.'!$B15,'Quadro Geral'!$B:$B,"PE")</f>
        <v>0</v>
      </c>
      <c r="G15" s="193">
        <f>COUNTIFS('Quadro Geral'!$D:$D,'Matriz de Obj. Estrat.'!$B15,'Quadro Geral'!$B:$B,"A")</f>
        <v>1</v>
      </c>
      <c r="H15" s="194">
        <f>SUMIFS('Quadro Geral'!$H:$H,'Quadro Geral'!$D:$D,'Matriz de Obj. Estrat.'!$B15,'Quadro Geral'!$B:$B,"A")</f>
        <v>646953.73</v>
      </c>
      <c r="I15" s="193">
        <f t="shared" si="1"/>
        <v>1</v>
      </c>
      <c r="J15" s="194">
        <f t="shared" si="2"/>
        <v>646953.73</v>
      </c>
      <c r="K15" s="195">
        <f t="shared" si="0"/>
        <v>40.2856945728673</v>
      </c>
    </row>
    <row r="16" spans="1:13" ht="30.75" customHeight="1" x14ac:dyDescent="0.35">
      <c r="A16" s="376" t="s">
        <v>318</v>
      </c>
      <c r="B16" s="65" t="s">
        <v>25</v>
      </c>
      <c r="C16" s="193">
        <f>COUNTIFS('Quadro Geral'!$D:$D,'Matriz de Obj. Estrat.'!$B16,'Quadro Geral'!$B:$B,"P")</f>
        <v>1</v>
      </c>
      <c r="D16" s="194">
        <f>SUMIFS('Quadro Geral'!$H:$H,'Quadro Geral'!$D:$D,'Matriz de Obj. Estrat.'!$B16,'Quadro Geral'!$B:$B,"P")</f>
        <v>13838.45</v>
      </c>
      <c r="E16" s="193">
        <f>COUNTIFS('Quadro Geral'!$D:$D,'Matriz de Obj. Estrat.'!$B16,'Quadro Geral'!$B:$B,"PE")</f>
        <v>0</v>
      </c>
      <c r="F16" s="194">
        <f>SUMIFS('Quadro Geral'!$H:$H,'Quadro Geral'!$D:$D,'Matriz de Obj. Estrat.'!$B16,'Quadro Geral'!$B:$B,"PE")</f>
        <v>0</v>
      </c>
      <c r="G16" s="193">
        <f>COUNTIFS('Quadro Geral'!$D:$D,'Matriz de Obj. Estrat.'!$B16,'Quadro Geral'!$B:$B,"A")</f>
        <v>0</v>
      </c>
      <c r="H16" s="194">
        <f>SUMIFS('Quadro Geral'!$H:$H,'Quadro Geral'!$D:$D,'Matriz de Obj. Estrat.'!$B16,'Quadro Geral'!$B:$B,"A")</f>
        <v>0</v>
      </c>
      <c r="I16" s="193">
        <f t="shared" si="1"/>
        <v>1</v>
      </c>
      <c r="J16" s="194">
        <f t="shared" si="2"/>
        <v>13838.45</v>
      </c>
      <c r="K16" s="195">
        <f t="shared" si="0"/>
        <v>0.86171783886599684</v>
      </c>
    </row>
    <row r="17" spans="1:12" ht="30.75" customHeight="1" x14ac:dyDescent="0.35">
      <c r="A17" s="376"/>
      <c r="B17" s="65" t="s">
        <v>26</v>
      </c>
      <c r="C17" s="193">
        <f>COUNTIFS('Quadro Geral'!$D:$D,'Matriz de Obj. Estrat.'!$B17,'Quadro Geral'!$B:$B,"P")</f>
        <v>0</v>
      </c>
      <c r="D17" s="194">
        <f>SUMIFS('Quadro Geral'!$H:$H,'Quadro Geral'!$D:$D,'Matriz de Obj. Estrat.'!$B17,'Quadro Geral'!$B:$B,"P")</f>
        <v>0</v>
      </c>
      <c r="E17" s="193">
        <f>COUNTIFS('Quadro Geral'!$D:$D,'Matriz de Obj. Estrat.'!$B17,'Quadro Geral'!$B:$B,"PE")</f>
        <v>0</v>
      </c>
      <c r="F17" s="194">
        <f>SUMIFS('Quadro Geral'!$H:$H,'Quadro Geral'!$D:$D,'Matriz de Obj. Estrat.'!$B17,'Quadro Geral'!$B:$B,"PE")</f>
        <v>0</v>
      </c>
      <c r="G17" s="193">
        <f>COUNTIFS('Quadro Geral'!$D:$D,'Matriz de Obj. Estrat.'!$B17,'Quadro Geral'!$B:$B,"A")</f>
        <v>0</v>
      </c>
      <c r="H17" s="194">
        <f>SUMIFS('Quadro Geral'!$H:$H,'Quadro Geral'!$D:$D,'Matriz de Obj. Estrat.'!$B17,'Quadro Geral'!$B:$B,"A")</f>
        <v>0</v>
      </c>
      <c r="I17" s="193">
        <f t="shared" si="1"/>
        <v>0</v>
      </c>
      <c r="J17" s="194">
        <f t="shared" si="2"/>
        <v>0</v>
      </c>
      <c r="K17" s="195">
        <f t="shared" si="0"/>
        <v>0</v>
      </c>
    </row>
    <row r="18" spans="1:12" ht="30.75" customHeight="1" x14ac:dyDescent="0.35">
      <c r="A18" s="376"/>
      <c r="B18" s="65" t="s">
        <v>27</v>
      </c>
      <c r="C18" s="193">
        <f>COUNTIFS('Quadro Geral'!$D:$D,'Matriz de Obj. Estrat.'!$B18,'Quadro Geral'!$B:$B,"P")</f>
        <v>0</v>
      </c>
      <c r="D18" s="194">
        <f>SUMIFS('Quadro Geral'!$H:$H,'Quadro Geral'!$D:$D,'Matriz de Obj. Estrat.'!$B18,'Quadro Geral'!$B:$B,"P")</f>
        <v>0</v>
      </c>
      <c r="E18" s="193">
        <f>COUNTIFS('Quadro Geral'!$D:$D,'Matriz de Obj. Estrat.'!$B18,'Quadro Geral'!$B:$B,"PE")</f>
        <v>0</v>
      </c>
      <c r="F18" s="194">
        <f>SUMIFS('Quadro Geral'!$H:$H,'Quadro Geral'!$D:$D,'Matriz de Obj. Estrat.'!$B18,'Quadro Geral'!$B:$B,"PE")</f>
        <v>0</v>
      </c>
      <c r="G18" s="193">
        <f>COUNTIFS('Quadro Geral'!$D:$D,'Matriz de Obj. Estrat.'!$B18,'Quadro Geral'!$B:$B,"A")</f>
        <v>0</v>
      </c>
      <c r="H18" s="194">
        <f>SUMIFS('Quadro Geral'!$H:$H,'Quadro Geral'!$D:$D,'Matriz de Obj. Estrat.'!$B18,'Quadro Geral'!$B:$B,"A")</f>
        <v>0</v>
      </c>
      <c r="I18" s="193">
        <f t="shared" si="1"/>
        <v>0</v>
      </c>
      <c r="J18" s="194">
        <f t="shared" si="2"/>
        <v>0</v>
      </c>
      <c r="K18" s="195">
        <f t="shared" si="0"/>
        <v>0</v>
      </c>
    </row>
    <row r="19" spans="1:12" x14ac:dyDescent="0.35">
      <c r="A19" s="377" t="s">
        <v>3</v>
      </c>
      <c r="B19" s="377"/>
      <c r="C19" s="76">
        <f>SUM(C3:C18)</f>
        <v>7</v>
      </c>
      <c r="D19" s="76">
        <f t="shared" ref="D19:J19" si="3">SUM(D3:D18)</f>
        <v>279994.01</v>
      </c>
      <c r="E19" s="76">
        <f t="shared" si="3"/>
        <v>0</v>
      </c>
      <c r="F19" s="76">
        <f t="shared" si="3"/>
        <v>0</v>
      </c>
      <c r="G19" s="76">
        <f t="shared" si="3"/>
        <v>8</v>
      </c>
      <c r="H19" s="76">
        <f t="shared" si="3"/>
        <v>1325920.29</v>
      </c>
      <c r="I19" s="76">
        <f t="shared" si="3"/>
        <v>15</v>
      </c>
      <c r="J19" s="76">
        <f t="shared" si="3"/>
        <v>1605914.3</v>
      </c>
      <c r="K19" s="77">
        <f>SUM(K3:K18)</f>
        <v>99.999999999999986</v>
      </c>
      <c r="L19" s="64"/>
    </row>
    <row r="20" spans="1:12" x14ac:dyDescent="0.35">
      <c r="D20" s="73"/>
      <c r="E20" s="68"/>
      <c r="F20" s="73"/>
      <c r="G20" s="69"/>
      <c r="H20" s="73"/>
      <c r="I20" s="69"/>
      <c r="J20" s="78">
        <f>'Quadro Geral'!H22</f>
        <v>1605914.2999999998</v>
      </c>
    </row>
    <row r="21" spans="1:12" x14ac:dyDescent="0.35">
      <c r="C21" s="70"/>
      <c r="G21" s="70"/>
      <c r="J21" s="78" t="b">
        <f>J20=J19</f>
        <v>1</v>
      </c>
    </row>
    <row r="22" spans="1:12" hidden="1" x14ac:dyDescent="0.35">
      <c r="E22" s="71"/>
    </row>
    <row r="23" spans="1:12" hidden="1" x14ac:dyDescent="0.35">
      <c r="E23" s="71"/>
      <c r="G23" s="70"/>
    </row>
    <row r="24" spans="1:12" hidden="1" x14ac:dyDescent="0.35">
      <c r="E24" s="71"/>
    </row>
    <row r="25" spans="1:12" hidden="1" x14ac:dyDescent="0.35">
      <c r="A25" s="67"/>
      <c r="I25" s="70"/>
    </row>
    <row r="26" spans="1:12" hidden="1" x14ac:dyDescent="0.35">
      <c r="A26" s="67"/>
      <c r="G26" s="71"/>
      <c r="I26" s="70"/>
    </row>
  </sheetData>
  <mergeCells count="11">
    <mergeCell ref="G1:H1"/>
    <mergeCell ref="I1:J1"/>
    <mergeCell ref="K1:K2"/>
    <mergeCell ref="A3:A4"/>
    <mergeCell ref="A5:A15"/>
    <mergeCell ref="A16:A18"/>
    <mergeCell ref="A19:B19"/>
    <mergeCell ref="E1:F1"/>
    <mergeCell ref="A1:A2"/>
    <mergeCell ref="B1:B2"/>
    <mergeCell ref="C1:D1"/>
  </mergeCells>
  <conditionalFormatting sqref="C2:D2 G2:I2">
    <cfRule type="cellIs" dxfId="7" priority="14" operator="equal">
      <formula>"S"</formula>
    </cfRule>
    <cfRule type="cellIs" dxfId="6" priority="15" operator="equal">
      <formula>"P"</formula>
    </cfRule>
    <cfRule type="cellIs" dxfId="5" priority="16" operator="equal">
      <formula>"x"</formula>
    </cfRule>
  </conditionalFormatting>
  <conditionalFormatting sqref="E2:F2">
    <cfRule type="cellIs" dxfId="4" priority="11" operator="equal">
      <formula>"S"</formula>
    </cfRule>
    <cfRule type="cellIs" dxfId="3" priority="12" operator="equal">
      <formula>"P"</formula>
    </cfRule>
    <cfRule type="cellIs" dxfId="2" priority="13" operator="equal">
      <formula>"x"</formula>
    </cfRule>
  </conditionalFormatting>
  <conditionalFormatting sqref="J21">
    <cfRule type="cellIs" dxfId="1" priority="9" operator="equal">
      <formula>TRUE</formula>
    </cfRule>
    <cfRule type="cellIs" dxfId="0" priority="10" operator="equal">
      <formula>FALSE</formula>
    </cfRule>
  </conditionalFormatting>
  <pageMargins left="0.511811024" right="0.511811024" top="0.78740157499999996" bottom="0.78740157499999996" header="0.31496062000000002" footer="0.31496062000000002"/>
  <pageSetup scale="35" orientation="portrait" r:id="rId1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74D8FB98-40E7-4C9D-A61A-9B8191C9E048}">
          <x14:formula1>
            <xm:f>'Validação de dados'!$D$1:$D$16</xm:f>
          </x14:formula1>
          <xm:sqref>M3:M5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7</vt:i4>
      </vt:variant>
      <vt:variant>
        <vt:lpstr>Intervalos Nomeados</vt:lpstr>
      </vt:variant>
      <vt:variant>
        <vt:i4>4</vt:i4>
      </vt:variant>
    </vt:vector>
  </HeadingPairs>
  <TitlesOfParts>
    <vt:vector size="11" baseType="lpstr">
      <vt:lpstr>Indicadores e Metas</vt:lpstr>
      <vt:lpstr>Quadro Geral</vt:lpstr>
      <vt:lpstr>Limites Estratégicos</vt:lpstr>
      <vt:lpstr>Fontes </vt:lpstr>
      <vt:lpstr>Validação de dados</vt:lpstr>
      <vt:lpstr>Diretrizes - Resumo</vt:lpstr>
      <vt:lpstr>Matriz de Obj. Estrat.</vt:lpstr>
      <vt:lpstr>'Fontes '!Area_de_impressao</vt:lpstr>
      <vt:lpstr>'Indicadores e Metas'!Area_de_impressao</vt:lpstr>
      <vt:lpstr>'Matriz de Obj. Estrat.'!Area_de_impressao</vt:lpstr>
      <vt:lpstr>'Quadro Geral'!Area_de_impressao</vt:lpstr>
    </vt:vector>
  </TitlesOfParts>
  <Manager>Luiz Antonio Poletto</Manager>
  <Company>CAU/BR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Programação 2022</dc:subject>
  <dc:creator>GERPLAN-CAU/BR</dc:creator>
  <cp:lastModifiedBy>Gaf 02</cp:lastModifiedBy>
  <cp:lastPrinted>2022-03-30T13:54:23Z</cp:lastPrinted>
  <dcterms:created xsi:type="dcterms:W3CDTF">2013-07-30T15:20:59Z</dcterms:created>
  <dcterms:modified xsi:type="dcterms:W3CDTF">2022-03-31T15:22:40Z</dcterms:modified>
</cp:coreProperties>
</file>